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P:\Deliverables-Completed\2017-Present\FN Kids\005-Errata\Supplied\"/>
    </mc:Choice>
  </mc:AlternateContent>
  <xr:revisionPtr revIDLastSave="0" documentId="13_ncr:1_{A95D0EC7-7867-49A7-AEB5-DC471224AC7B}" xr6:coauthVersionLast="47" xr6:coauthVersionMax="47" xr10:uidLastSave="{00000000-0000-0000-0000-000000000000}"/>
  <bookViews>
    <workbookView xWindow="1845" yWindow="105" windowWidth="22005" windowHeight="15495" xr2:uid="{4F335FCF-0B9A-45BC-AFDA-209EF35FB393}"/>
  </bookViews>
  <sheets>
    <sheet name="Appendix Tables" sheetId="19" r:id="rId1"/>
    <sheet name="RHA_Graph" sheetId="5" r:id="rId2"/>
    <sheet name="TreatyArea" sheetId="12" state="hidden" r:id="rId3"/>
    <sheet name="Income_quint_LH" sheetId="22" r:id="rId4"/>
    <sheet name="Dashboard" sheetId="21" r:id="rId5"/>
    <sheet name="Data_Sheet" sheetId="4" r:id="rId6"/>
    <sheet name="orig_rha" sheetId="15" r:id="rId7"/>
    <sheet name="orig_treaty" sheetId="16" state="hidden" r:id="rId8"/>
    <sheet name="orig_tribal" sheetId="17" r:id="rId9"/>
    <sheet name="orig_income" sheetId="20" r:id="rId10"/>
  </sheets>
  <externalReferences>
    <externalReference r:id="rId11"/>
  </externalReferences>
  <definedNames>
    <definedName name="Criteria1">IF((CELL("contents",'[1]district graph data'!E1))="2"," (2)")</definedName>
    <definedName name="_xlnm.Print_Area" localSheetId="0">'Appendix Tables'!$B$1:$K$27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4" l="1"/>
  <c r="C45" i="4" l="1"/>
  <c r="C44" i="4"/>
  <c r="M43" i="4"/>
  <c r="L43" i="4"/>
  <c r="J43" i="4"/>
  <c r="I43" i="4"/>
  <c r="G43" i="4"/>
  <c r="F43" i="4"/>
  <c r="C42" i="4"/>
  <c r="M41" i="4"/>
  <c r="L41" i="4"/>
  <c r="J41" i="4"/>
  <c r="I41" i="4"/>
  <c r="G41" i="4"/>
  <c r="F41" i="4"/>
  <c r="M40" i="4"/>
  <c r="L40" i="4"/>
  <c r="J40" i="4"/>
  <c r="I40" i="4"/>
  <c r="G40" i="4"/>
  <c r="F40" i="4"/>
  <c r="M39" i="4"/>
  <c r="L39" i="4"/>
  <c r="J39" i="4"/>
  <c r="I39" i="4"/>
  <c r="G39" i="4"/>
  <c r="F39" i="4"/>
  <c r="M38" i="4"/>
  <c r="L38" i="4"/>
  <c r="J38" i="4"/>
  <c r="I38" i="4"/>
  <c r="G38" i="4"/>
  <c r="F38" i="4"/>
  <c r="M37" i="4"/>
  <c r="L37" i="4"/>
  <c r="J37" i="4"/>
  <c r="I37" i="4"/>
  <c r="G37" i="4"/>
  <c r="F37" i="4"/>
  <c r="M36" i="4"/>
  <c r="L36" i="4"/>
  <c r="J36" i="4"/>
  <c r="I36" i="4"/>
  <c r="G36" i="4"/>
  <c r="F36" i="4"/>
  <c r="C43" i="4"/>
  <c r="C41" i="4"/>
  <c r="C40" i="4"/>
  <c r="C39" i="4"/>
  <c r="C38" i="4"/>
  <c r="C37" i="4"/>
  <c r="C36" i="4"/>
  <c r="C35" i="4"/>
  <c r="M32" i="4"/>
  <c r="L32" i="4"/>
  <c r="J32" i="4"/>
  <c r="I32" i="4"/>
  <c r="H32" i="4"/>
  <c r="G32" i="4"/>
  <c r="F32" i="4"/>
  <c r="M30" i="4"/>
  <c r="L30" i="4"/>
  <c r="J30" i="4"/>
  <c r="I30" i="4"/>
  <c r="H30" i="4"/>
  <c r="G30" i="4"/>
  <c r="F30" i="4"/>
  <c r="M29" i="4"/>
  <c r="L29" i="4"/>
  <c r="J29" i="4"/>
  <c r="I29" i="4"/>
  <c r="H29" i="4"/>
  <c r="G29" i="4"/>
  <c r="F29" i="4"/>
  <c r="M28" i="4"/>
  <c r="L28" i="4"/>
  <c r="J28" i="4"/>
  <c r="I28" i="4"/>
  <c r="H28" i="4"/>
  <c r="G28" i="4"/>
  <c r="F28" i="4"/>
  <c r="M27" i="4"/>
  <c r="L27" i="4"/>
  <c r="J27" i="4"/>
  <c r="I27" i="4"/>
  <c r="H27" i="4"/>
  <c r="G27" i="4"/>
  <c r="F27" i="4"/>
  <c r="M26" i="4"/>
  <c r="L26" i="4"/>
  <c r="J26" i="4"/>
  <c r="I26" i="4"/>
  <c r="H26" i="4"/>
  <c r="G26" i="4"/>
  <c r="F26" i="4"/>
  <c r="M25" i="4"/>
  <c r="L25" i="4"/>
  <c r="J25" i="4"/>
  <c r="I25" i="4"/>
  <c r="H25" i="4"/>
  <c r="G25" i="4"/>
  <c r="F25" i="4"/>
  <c r="O9" i="4"/>
  <c r="N9" i="4"/>
  <c r="J42" i="4" l="1"/>
  <c r="J44" i="4"/>
  <c r="J45" i="4"/>
  <c r="J35" i="4"/>
  <c r="J31" i="4"/>
  <c r="J33" i="4"/>
  <c r="J34" i="4"/>
  <c r="J24" i="4"/>
  <c r="O5" i="4" l="1"/>
  <c r="O6" i="4"/>
  <c r="O7" i="4"/>
  <c r="O8" i="4"/>
  <c r="O4" i="4"/>
  <c r="N5" i="4"/>
  <c r="N6" i="4"/>
  <c r="N7" i="4"/>
  <c r="N8" i="4"/>
  <c r="N4" i="4"/>
  <c r="I24" i="4"/>
  <c r="I31" i="4"/>
  <c r="I33" i="4"/>
  <c r="F42" i="4" l="1"/>
  <c r="F44" i="4"/>
  <c r="F31" i="4"/>
  <c r="F33" i="4"/>
  <c r="F35" i="4"/>
  <c r="F24" i="4"/>
  <c r="B22" i="21" l="1"/>
  <c r="B21" i="21"/>
  <c r="B25" i="21"/>
  <c r="B26" i="21"/>
  <c r="C26" i="21"/>
  <c r="D26" i="21" s="1"/>
  <c r="C25" i="21"/>
  <c r="D25" i="21" s="1"/>
  <c r="C24" i="21"/>
  <c r="D24" i="21" s="1"/>
  <c r="C23" i="21"/>
  <c r="D23" i="21" s="1"/>
  <c r="C22" i="21"/>
  <c r="C21" i="21"/>
  <c r="D27" i="21" l="1"/>
  <c r="B15" i="19"/>
  <c r="G31" i="4"/>
  <c r="H31" i="4"/>
  <c r="G33" i="4"/>
  <c r="H33" i="4"/>
  <c r="I35" i="4"/>
  <c r="I42" i="4"/>
  <c r="I44" i="4"/>
  <c r="H24" i="4"/>
  <c r="G42" i="4"/>
  <c r="G44" i="4"/>
  <c r="G35" i="4"/>
  <c r="G24" i="4"/>
  <c r="M42" i="4"/>
  <c r="M44" i="4"/>
  <c r="M45" i="4"/>
  <c r="F25" i="19" s="1"/>
  <c r="D16" i="19"/>
  <c r="D17" i="19"/>
  <c r="D18" i="19"/>
  <c r="D19" i="19"/>
  <c r="D20" i="19"/>
  <c r="D21" i="19"/>
  <c r="M31" i="4"/>
  <c r="D22" i="19" s="1"/>
  <c r="D23" i="19"/>
  <c r="M33" i="4"/>
  <c r="D24" i="19" s="1"/>
  <c r="M34" i="4"/>
  <c r="D25" i="19" s="1"/>
  <c r="M35" i="4"/>
  <c r="M24" i="4"/>
  <c r="D15" i="19" s="1"/>
  <c r="L42" i="4"/>
  <c r="L44" i="4"/>
  <c r="L45" i="4"/>
  <c r="E25" i="19" s="1"/>
  <c r="L35" i="4"/>
  <c r="C16" i="19"/>
  <c r="C17" i="19"/>
  <c r="C18" i="19"/>
  <c r="C19" i="19"/>
  <c r="C20" i="19"/>
  <c r="C21" i="19"/>
  <c r="L31" i="4"/>
  <c r="C22" i="19" s="1"/>
  <c r="C23" i="19"/>
  <c r="L33" i="4"/>
  <c r="C24" i="19" s="1"/>
  <c r="L34" i="4"/>
  <c r="C25" i="19" s="1"/>
  <c r="L24" i="4"/>
  <c r="C15" i="19" s="1"/>
  <c r="K45" i="4"/>
  <c r="K44" i="4"/>
  <c r="K42" i="4"/>
  <c r="K40" i="4"/>
  <c r="K38" i="4"/>
  <c r="K36" i="4"/>
  <c r="D27" i="4" l="1"/>
  <c r="E27" i="4" s="1"/>
  <c r="D32" i="4"/>
  <c r="E32" i="4" s="1"/>
  <c r="K35" i="4"/>
  <c r="K37" i="4"/>
  <c r="K39" i="4"/>
  <c r="K41" i="4"/>
  <c r="K43" i="4"/>
  <c r="D33" i="4"/>
  <c r="E33" i="4" s="1"/>
  <c r="D31" i="4"/>
  <c r="E31" i="4" s="1"/>
  <c r="D28" i="4"/>
  <c r="E28" i="4" s="1"/>
  <c r="D24" i="4"/>
  <c r="E24" i="4" s="1"/>
  <c r="D30" i="4"/>
  <c r="E30" i="4" s="1"/>
  <c r="D29" i="4"/>
  <c r="E29" i="4" s="1"/>
  <c r="D26" i="4"/>
  <c r="E26" i="4" s="1"/>
  <c r="D25" i="4"/>
  <c r="E25" i="4" s="1"/>
  <c r="F24" i="19"/>
  <c r="E24" i="19"/>
  <c r="F23" i="19"/>
  <c r="E23" i="19"/>
  <c r="F22" i="19"/>
  <c r="E22" i="19"/>
  <c r="F21" i="19"/>
  <c r="E21" i="19"/>
  <c r="F20" i="19"/>
  <c r="E20" i="19"/>
  <c r="E19" i="19"/>
  <c r="F19" i="19"/>
  <c r="E18" i="19"/>
  <c r="F18" i="19"/>
  <c r="F17" i="19"/>
  <c r="E17" i="19"/>
  <c r="E16" i="19"/>
  <c r="F16" i="19"/>
  <c r="E15" i="19"/>
  <c r="F15" i="19"/>
  <c r="L55" i="4"/>
  <c r="M55" i="4" s="1"/>
  <c r="L54" i="4"/>
  <c r="M54" i="4" s="1"/>
  <c r="L53" i="4"/>
  <c r="M53" i="4" s="1"/>
  <c r="L52" i="4"/>
  <c r="M52" i="4" s="1"/>
  <c r="L51" i="4"/>
  <c r="M51" i="4" s="1"/>
  <c r="L50" i="4"/>
  <c r="M50" i="4" s="1"/>
  <c r="L49" i="4"/>
  <c r="M49" i="4" s="1"/>
  <c r="I63" i="4"/>
  <c r="J63" i="4" s="1"/>
  <c r="I62" i="4"/>
  <c r="J62" i="4" s="1"/>
  <c r="I61" i="4"/>
  <c r="J61" i="4" s="1"/>
  <c r="I60" i="4"/>
  <c r="J60" i="4" s="1"/>
  <c r="I59" i="4"/>
  <c r="J59" i="4" s="1"/>
  <c r="C45" i="21" l="1"/>
  <c r="C37" i="21"/>
  <c r="C44" i="21" l="1"/>
  <c r="C43" i="21"/>
  <c r="C42" i="21"/>
  <c r="B44" i="21"/>
  <c r="B43" i="21"/>
  <c r="B42" i="21"/>
  <c r="C36" i="21"/>
  <c r="C35" i="21"/>
  <c r="C34" i="21"/>
  <c r="C33" i="21"/>
  <c r="C32" i="21"/>
  <c r="C31" i="21"/>
  <c r="B36" i="21"/>
  <c r="B35" i="21"/>
  <c r="B34" i="21"/>
  <c r="B33" i="21"/>
  <c r="B32" i="21"/>
  <c r="B31" i="21"/>
  <c r="C16" i="21"/>
  <c r="D16" i="21" s="1"/>
  <c r="C15" i="21"/>
  <c r="B16" i="21"/>
  <c r="B15" i="21"/>
  <c r="C7" i="21"/>
  <c r="C6" i="21"/>
  <c r="C5" i="21"/>
  <c r="C4" i="21"/>
  <c r="D4" i="21" s="1"/>
  <c r="C9" i="21"/>
  <c r="C8" i="21"/>
  <c r="I13" i="4" l="1"/>
  <c r="M13" i="4"/>
  <c r="H61" i="4" l="1"/>
  <c r="G60" i="4"/>
  <c r="F59" i="4"/>
  <c r="K51" i="4"/>
  <c r="J51" i="4"/>
  <c r="I50" i="4"/>
  <c r="H50" i="4"/>
  <c r="G49" i="4"/>
  <c r="F49" i="4"/>
  <c r="I20" i="4"/>
  <c r="M20" i="4" s="1"/>
  <c r="I19" i="4"/>
  <c r="L19" i="4" s="1"/>
  <c r="I18" i="4"/>
  <c r="M18" i="4" s="1"/>
  <c r="I17" i="4"/>
  <c r="L17" i="4" s="1"/>
  <c r="I16" i="4"/>
  <c r="M16" i="4" s="1"/>
  <c r="I15" i="4"/>
  <c r="L15" i="4" s="1"/>
  <c r="I14" i="4"/>
  <c r="M14" i="4" s="1"/>
  <c r="G18" i="4"/>
  <c r="G17" i="4"/>
  <c r="G16" i="4"/>
  <c r="G15" i="4"/>
  <c r="G14" i="4"/>
  <c r="J13" i="4"/>
  <c r="G19" i="4"/>
  <c r="J15" i="4" l="1"/>
  <c r="J19" i="4"/>
  <c r="M17" i="4"/>
  <c r="J17" i="4"/>
  <c r="M15" i="4"/>
  <c r="M19" i="4"/>
  <c r="L14" i="4"/>
  <c r="L16" i="4"/>
  <c r="L18" i="4"/>
  <c r="L20" i="4"/>
  <c r="J14" i="4"/>
  <c r="J16" i="4"/>
  <c r="J18" i="4"/>
  <c r="J20" i="4"/>
  <c r="AF3" i="4"/>
  <c r="AE3" i="4"/>
  <c r="AD3" i="4"/>
  <c r="AC3" i="4"/>
  <c r="T9" i="4"/>
  <c r="T8" i="4"/>
  <c r="T7" i="4"/>
  <c r="T6" i="4"/>
  <c r="T5" i="4"/>
  <c r="T4" i="4"/>
  <c r="T3" i="4"/>
  <c r="S8" i="4"/>
  <c r="S7" i="4"/>
  <c r="S6" i="4"/>
  <c r="S5" i="4"/>
  <c r="S4" i="4"/>
  <c r="S3" i="4"/>
  <c r="R9" i="4"/>
  <c r="Q9" i="4"/>
  <c r="R8" i="4"/>
  <c r="R7" i="4"/>
  <c r="R6" i="4"/>
  <c r="R5" i="4"/>
  <c r="R4" i="4"/>
  <c r="R3" i="4"/>
  <c r="Q8" i="4"/>
  <c r="Q7" i="4"/>
  <c r="Q6" i="4"/>
  <c r="Q5" i="4"/>
  <c r="Q4" i="4"/>
  <c r="Q3" i="4"/>
  <c r="AF9" i="4"/>
  <c r="J11" i="19" s="1"/>
  <c r="AA9" i="4"/>
  <c r="G11" i="19" s="1"/>
  <c r="M9" i="4"/>
  <c r="L9" i="4"/>
  <c r="K9" i="4"/>
  <c r="J9" i="4"/>
  <c r="I9" i="4"/>
  <c r="H9" i="4"/>
  <c r="G9" i="4"/>
  <c r="F9" i="4"/>
  <c r="K8" i="4"/>
  <c r="K7" i="4"/>
  <c r="K6" i="4"/>
  <c r="K5" i="4"/>
  <c r="K4" i="4"/>
  <c r="J8" i="4"/>
  <c r="J7" i="4"/>
  <c r="J6" i="4"/>
  <c r="J5" i="4"/>
  <c r="J4" i="4"/>
  <c r="I8" i="4"/>
  <c r="I7" i="4"/>
  <c r="I6" i="4"/>
  <c r="I5" i="4"/>
  <c r="I4" i="4"/>
  <c r="H8" i="4"/>
  <c r="H7" i="4"/>
  <c r="H6" i="4"/>
  <c r="H5" i="4"/>
  <c r="H4" i="4"/>
  <c r="G8" i="4"/>
  <c r="G7" i="4"/>
  <c r="G6" i="4"/>
  <c r="G5" i="4"/>
  <c r="G4" i="4"/>
  <c r="F8" i="4"/>
  <c r="F7" i="4"/>
  <c r="F6" i="4"/>
  <c r="F5" i="4"/>
  <c r="F4" i="4"/>
  <c r="AD9" i="4" l="1"/>
  <c r="Y9" i="4"/>
  <c r="C11" i="19" s="1"/>
  <c r="F11" i="19"/>
  <c r="AB9" i="4"/>
  <c r="I11" i="19" s="1"/>
  <c r="Z9" i="4"/>
  <c r="E11" i="19" s="1"/>
  <c r="AC9" i="4"/>
  <c r="D11" i="19" s="1"/>
  <c r="AE9" i="4"/>
  <c r="H11" i="19" s="1"/>
  <c r="D61" i="4" l="1"/>
  <c r="E61" i="4" s="1"/>
  <c r="B61" i="4" s="1"/>
  <c r="D60" i="4"/>
  <c r="E60" i="4" s="1"/>
  <c r="B60" i="4" s="1"/>
  <c r="D59" i="4"/>
  <c r="E59" i="4" s="1"/>
  <c r="B59" i="4" s="1"/>
  <c r="B62" i="4"/>
  <c r="B63" i="4"/>
  <c r="D49" i="4"/>
  <c r="E49" i="4" s="1"/>
  <c r="B49" i="4" s="1"/>
  <c r="D42" i="21"/>
  <c r="D43" i="21"/>
  <c r="D44" i="21"/>
  <c r="D45" i="21"/>
  <c r="M8" i="4"/>
  <c r="D15" i="21"/>
  <c r="B24" i="4"/>
  <c r="K32" i="4"/>
  <c r="B55" i="4"/>
  <c r="B54" i="4"/>
  <c r="B53" i="4"/>
  <c r="B52" i="4"/>
  <c r="D35" i="21"/>
  <c r="D34" i="21"/>
  <c r="D33" i="21"/>
  <c r="D32" i="21"/>
  <c r="D31" i="21"/>
  <c r="L5" i="4"/>
  <c r="M5" i="4"/>
  <c r="AF5" i="4"/>
  <c r="J7" i="19" s="1"/>
  <c r="L6" i="4"/>
  <c r="M6" i="4"/>
  <c r="L7" i="4"/>
  <c r="M7" i="4"/>
  <c r="L8" i="4"/>
  <c r="D9" i="21"/>
  <c r="D8" i="21"/>
  <c r="D6" i="21"/>
  <c r="D5" i="21"/>
  <c r="B9" i="21"/>
  <c r="B8" i="21"/>
  <c r="B7" i="21"/>
  <c r="B6" i="21"/>
  <c r="B5" i="21"/>
  <c r="B4" i="21"/>
  <c r="B31" i="4"/>
  <c r="B27" i="4"/>
  <c r="D19" i="4"/>
  <c r="E19" i="4" s="1"/>
  <c r="B19" i="4" s="1"/>
  <c r="D15" i="4"/>
  <c r="D7" i="21"/>
  <c r="B34" i="4"/>
  <c r="B20" i="4"/>
  <c r="D4" i="4"/>
  <c r="E4" i="4" s="1"/>
  <c r="B4" i="4" s="1"/>
  <c r="D36" i="21"/>
  <c r="Z8" i="4"/>
  <c r="AB7" i="4"/>
  <c r="I9" i="19" s="1"/>
  <c r="AB5" i="4"/>
  <c r="I7" i="19" s="1"/>
  <c r="M4" i="4"/>
  <c r="L4" i="4"/>
  <c r="AB4" i="4"/>
  <c r="I6" i="19" s="1"/>
  <c r="D37" i="21"/>
  <c r="B17" i="19"/>
  <c r="B20" i="19"/>
  <c r="B21" i="19"/>
  <c r="B16" i="19"/>
  <c r="B18" i="19"/>
  <c r="B19" i="19"/>
  <c r="B22" i="19"/>
  <c r="B23" i="19"/>
  <c r="B24" i="19"/>
  <c r="X6" i="4"/>
  <c r="W7" i="4"/>
  <c r="V6" i="4"/>
  <c r="U8" i="4"/>
  <c r="L13" i="4"/>
  <c r="D20" i="4"/>
  <c r="AB3" i="4"/>
  <c r="AA3" i="4"/>
  <c r="Z3" i="4"/>
  <c r="Y3" i="4"/>
  <c r="D9" i="4"/>
  <c r="E9" i="4" s="1"/>
  <c r="B9" i="4" s="1"/>
  <c r="D8" i="4"/>
  <c r="E8" i="4" s="1"/>
  <c r="B8" i="4" s="1"/>
  <c r="D7" i="4"/>
  <c r="E7" i="4" s="1"/>
  <c r="B7" i="4" s="1"/>
  <c r="D6" i="4"/>
  <c r="E6" i="4" s="1"/>
  <c r="B6" i="4" s="1"/>
  <c r="D5" i="4"/>
  <c r="E5" i="4" s="1"/>
  <c r="B5" i="4" s="1"/>
  <c r="L3" i="4"/>
  <c r="M3" i="4"/>
  <c r="N3" i="4"/>
  <c r="O3" i="4"/>
  <c r="F3" i="4"/>
  <c r="G3" i="4"/>
  <c r="H3" i="4"/>
  <c r="I3" i="4"/>
  <c r="J3" i="4"/>
  <c r="K3" i="4"/>
  <c r="P5" i="4"/>
  <c r="P6" i="4"/>
  <c r="P7" i="4"/>
  <c r="P8" i="4"/>
  <c r="P9" i="4"/>
  <c r="P4" i="4"/>
  <c r="V7" i="4"/>
  <c r="K33" i="4"/>
  <c r="W6" i="4"/>
  <c r="U5" i="4"/>
  <c r="W4" i="4"/>
  <c r="U6" i="4"/>
  <c r="V8" i="4"/>
  <c r="U9" i="4"/>
  <c r="W5" i="4"/>
  <c r="U7" i="4"/>
  <c r="V9" i="4"/>
  <c r="U4" i="4"/>
  <c r="B10" i="4"/>
  <c r="AD5" i="4" l="1"/>
  <c r="AD8" i="4"/>
  <c r="F10" i="19" s="1"/>
  <c r="E10" i="19"/>
  <c r="Z5" i="4"/>
  <c r="E7" i="19" s="1"/>
  <c r="E9" i="19"/>
  <c r="AD6" i="4"/>
  <c r="F8" i="19" s="1"/>
  <c r="E8" i="19"/>
  <c r="Z6" i="4"/>
  <c r="AC5" i="4"/>
  <c r="F7" i="19"/>
  <c r="D17" i="21"/>
  <c r="E15" i="4"/>
  <c r="B15" i="4" s="1"/>
  <c r="AC4" i="4"/>
  <c r="D6" i="19" s="1"/>
  <c r="AE4" i="4"/>
  <c r="H6" i="19" s="1"/>
  <c r="AE8" i="4"/>
  <c r="H10" i="19" s="1"/>
  <c r="AF7" i="4"/>
  <c r="J9" i="19" s="1"/>
  <c r="AD7" i="4"/>
  <c r="F9" i="19" s="1"/>
  <c r="AB6" i="4"/>
  <c r="I8" i="19" s="1"/>
  <c r="AF6" i="4"/>
  <c r="J8" i="19" s="1"/>
  <c r="Y6" i="4"/>
  <c r="C8" i="19" s="1"/>
  <c r="AC6" i="4"/>
  <c r="D8" i="19" s="1"/>
  <c r="AE5" i="4"/>
  <c r="H7" i="19" s="1"/>
  <c r="AB8" i="4"/>
  <c r="I10" i="19" s="1"/>
  <c r="AF8" i="4"/>
  <c r="J10" i="19" s="1"/>
  <c r="AE6" i="4"/>
  <c r="H8" i="19" s="1"/>
  <c r="AD4" i="4"/>
  <c r="F6" i="19" s="1"/>
  <c r="AF4" i="4"/>
  <c r="J6" i="19" s="1"/>
  <c r="AC8" i="4"/>
  <c r="D10" i="19" s="1"/>
  <c r="AE7" i="4"/>
  <c r="H9" i="19" s="1"/>
  <c r="AC7" i="4"/>
  <c r="D9" i="19" s="1"/>
  <c r="C10" i="21"/>
  <c r="D10" i="21" s="1"/>
  <c r="D11" i="21" s="1"/>
  <c r="AA8" i="4"/>
  <c r="G10" i="19" s="1"/>
  <c r="Z4" i="4"/>
  <c r="E6" i="19" s="1"/>
  <c r="Y5" i="4"/>
  <c r="AA5" i="4"/>
  <c r="G7" i="19" s="1"/>
  <c r="Z7" i="4"/>
  <c r="D50" i="4"/>
  <c r="E50" i="4" s="1"/>
  <c r="B50" i="4" s="1"/>
  <c r="D51" i="4"/>
  <c r="E51" i="4" s="1"/>
  <c r="B51" i="4" s="1"/>
  <c r="D38" i="21"/>
  <c r="D46" i="21"/>
  <c r="B25" i="4"/>
  <c r="B33" i="4"/>
  <c r="K28" i="4"/>
  <c r="B29" i="4"/>
  <c r="B28" i="4"/>
  <c r="B32" i="4"/>
  <c r="K27" i="4"/>
  <c r="K29" i="4"/>
  <c r="K34" i="4"/>
  <c r="K26" i="4"/>
  <c r="B26" i="4"/>
  <c r="B30" i="4"/>
  <c r="K30" i="4"/>
  <c r="K31" i="4"/>
  <c r="K24" i="4"/>
  <c r="K25" i="4"/>
  <c r="D17" i="4"/>
  <c r="E17" i="4" s="1"/>
  <c r="B17" i="4" s="1"/>
  <c r="K20" i="4"/>
  <c r="K14" i="4"/>
  <c r="K19" i="4"/>
  <c r="K15" i="4"/>
  <c r="K16" i="4"/>
  <c r="K17" i="4"/>
  <c r="K18" i="4"/>
  <c r="D16" i="4"/>
  <c r="E16" i="4" s="1"/>
  <c r="B16" i="4" s="1"/>
  <c r="D14" i="4"/>
  <c r="D18" i="4"/>
  <c r="E18" i="4" s="1"/>
  <c r="B18" i="4" s="1"/>
  <c r="X4" i="4"/>
  <c r="X7" i="4"/>
  <c r="V5" i="4"/>
  <c r="W9" i="4"/>
  <c r="X5" i="4"/>
  <c r="X8" i="4"/>
  <c r="V4" i="4"/>
  <c r="W8" i="4"/>
  <c r="X9" i="4"/>
  <c r="Y4" i="4"/>
  <c r="C6" i="19" s="1"/>
  <c r="AA4" i="4"/>
  <c r="G6" i="19" s="1"/>
  <c r="AA6" i="4"/>
  <c r="G8" i="19" s="1"/>
  <c r="Y7" i="4"/>
  <c r="C9" i="19" s="1"/>
  <c r="AA7" i="4"/>
  <c r="G9" i="19" s="1"/>
  <c r="Y8" i="4"/>
  <c r="C10" i="19" s="1"/>
  <c r="E14" i="4" l="1"/>
  <c r="B14" i="4" s="1"/>
</calcChain>
</file>

<file path=xl/sharedStrings.xml><?xml version="1.0" encoding="utf-8"?>
<sst xmlns="http://schemas.openxmlformats.org/spreadsheetml/2006/main" count="1031" uniqueCount="266">
  <si>
    <t>Manitoba</t>
  </si>
  <si>
    <t>Notation</t>
  </si>
  <si>
    <t>Supression</t>
  </si>
  <si>
    <t xml:space="preserve">     </t>
  </si>
  <si>
    <t/>
  </si>
  <si>
    <t>Dakota Nation</t>
  </si>
  <si>
    <t>Treaty 1</t>
  </si>
  <si>
    <t>Treaty 10</t>
  </si>
  <si>
    <t>Treaty 2</t>
  </si>
  <si>
    <t>Treaty 4</t>
  </si>
  <si>
    <t>Treaty 5</t>
  </si>
  <si>
    <t>Treaty Area</t>
  </si>
  <si>
    <t>Independent-North</t>
  </si>
  <si>
    <t>Independent-South</t>
  </si>
  <si>
    <t>Rate</t>
  </si>
  <si>
    <t>area</t>
  </si>
  <si>
    <t>FN_ON_pop</t>
  </si>
  <si>
    <t>FN_ON_adj_rate</t>
  </si>
  <si>
    <t>FN_ON_Lcl_adj</t>
  </si>
  <si>
    <t>FN_ON_Ucl_adj</t>
  </si>
  <si>
    <t>FN_ON_prob</t>
  </si>
  <si>
    <t>FN_ON_crd_rate</t>
  </si>
  <si>
    <t>FN_ON_relrisk</t>
  </si>
  <si>
    <t>FN_ON_Lcl_rr</t>
  </si>
  <si>
    <t>FN_ON_Ucl_rr</t>
  </si>
  <si>
    <t>FN_OFF_pop</t>
  </si>
  <si>
    <t>FN_OFF_adj_rate</t>
  </si>
  <si>
    <t>FN_OFF_Lcl_adj</t>
  </si>
  <si>
    <t>FN_OFF_Ucl_adj</t>
  </si>
  <si>
    <t>FN_OFF_prob</t>
  </si>
  <si>
    <t>FN_OFF_crd_rate</t>
  </si>
  <si>
    <t>FN_OFF_relrisk</t>
  </si>
  <si>
    <t>FN_OFF_Lcl_rr</t>
  </si>
  <si>
    <t>FN_OFF_Ucl_rr</t>
  </si>
  <si>
    <t>FN_pop</t>
  </si>
  <si>
    <t>FN_adj_rate</t>
  </si>
  <si>
    <t>FN_Lcl_adj</t>
  </si>
  <si>
    <t>FN_Ucl_adj</t>
  </si>
  <si>
    <t>FN_prob</t>
  </si>
  <si>
    <t>FN_crd_rate</t>
  </si>
  <si>
    <t>FN_relrisk</t>
  </si>
  <si>
    <t>FN_Lcl_rr</t>
  </si>
  <si>
    <t>FN_Ucl_rr</t>
  </si>
  <si>
    <t>ONvsOFF_prob</t>
  </si>
  <si>
    <t>ONvsOFF_relrisk</t>
  </si>
  <si>
    <t>ONvsOFF_lcl_rr</t>
  </si>
  <si>
    <t>ONvsOFF_ucl_rr</t>
  </si>
  <si>
    <t>FN_ON_sign</t>
  </si>
  <si>
    <t>FN_OFF_sign</t>
  </si>
  <si>
    <t>FN_sign</t>
  </si>
  <si>
    <t>ONvsOFF_sign</t>
  </si>
  <si>
    <t>FN_ON_suppress</t>
  </si>
  <si>
    <t>FN_OFF_suppress</t>
  </si>
  <si>
    <t>FN_suppress</t>
  </si>
  <si>
    <t xml:space="preserve"> </t>
  </si>
  <si>
    <t>Z Manitoba</t>
  </si>
  <si>
    <t>Source:</t>
  </si>
  <si>
    <t>Date:</t>
  </si>
  <si>
    <t>On-Reserve vs Off-Reserve</t>
  </si>
  <si>
    <t>treaty</t>
  </si>
  <si>
    <t>treaty_pop</t>
  </si>
  <si>
    <t>treaty_adj_rate</t>
  </si>
  <si>
    <t>treaty_Lcl_adj</t>
  </si>
  <si>
    <t>treaty_crd_rate</t>
  </si>
  <si>
    <t>FN On Reserve</t>
  </si>
  <si>
    <t>tribal_council</t>
  </si>
  <si>
    <t xml:space="preserve">Prairie Mountain Health </t>
  </si>
  <si>
    <t>First Nations On-Reserve</t>
  </si>
  <si>
    <t>First Nations</t>
  </si>
  <si>
    <t>First Nations Off-Reserve</t>
  </si>
  <si>
    <t>Crude</t>
  </si>
  <si>
    <t>Count</t>
  </si>
  <si>
    <t>Health Region</t>
  </si>
  <si>
    <t>Non-affiliated</t>
  </si>
  <si>
    <t>All Other Manitobans</t>
  </si>
  <si>
    <t>Urban Off-Reserve</t>
  </si>
  <si>
    <t>Rural On-Reserve</t>
  </si>
  <si>
    <t>Rural Off-Reserve</t>
  </si>
  <si>
    <t>cohort</t>
  </si>
  <si>
    <t>rural</t>
  </si>
  <si>
    <t>count</t>
  </si>
  <si>
    <t>pop</t>
  </si>
  <si>
    <t>crd_rate</t>
  </si>
  <si>
    <t>suppress</t>
  </si>
  <si>
    <t>Urban</t>
  </si>
  <si>
    <t>First Nations Off Reserve</t>
  </si>
  <si>
    <t>Rural</t>
  </si>
  <si>
    <t>First Nations On Reserve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</si>
  <si>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</si>
  <si>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</si>
  <si>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</si>
  <si>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</si>
  <si>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</si>
  <si>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All First Nations</t>
  </si>
  <si>
    <t>Southern Health-Santé Sud</t>
  </si>
  <si>
    <t>Winnipeg RHA</t>
  </si>
  <si>
    <t>Interlake-Eastern RHA</t>
  </si>
  <si>
    <t>Northern Health Region</t>
  </si>
  <si>
    <t>o</t>
  </si>
  <si>
    <t>r</t>
  </si>
  <si>
    <t>orig_rha</t>
  </si>
  <si>
    <t>footnote</t>
  </si>
  <si>
    <t>footnote for graph:</t>
  </si>
  <si>
    <t>footnote for graph</t>
  </si>
  <si>
    <t>orig_treaty</t>
  </si>
  <si>
    <t>orig_tribal</t>
  </si>
  <si>
    <t>Keewatin (KTC)</t>
  </si>
  <si>
    <t>Island Lake (ILTC)</t>
  </si>
  <si>
    <t>Swampy Cree (SCTC)</t>
  </si>
  <si>
    <t>Interlake Reserves (IRTC)</t>
  </si>
  <si>
    <t>Dakota Ojibway TC (DOTC)</t>
  </si>
  <si>
    <t>West Region (WRTC)</t>
  </si>
  <si>
    <t>Other Manitobans</t>
  </si>
  <si>
    <t>RHA</t>
  </si>
  <si>
    <t>adj rates</t>
  </si>
  <si>
    <t>avgs</t>
  </si>
  <si>
    <t>counts</t>
  </si>
  <si>
    <t>Avg</t>
  </si>
  <si>
    <t>Adjusted rates</t>
  </si>
  <si>
    <t>crude rates</t>
  </si>
  <si>
    <t>n/a</t>
  </si>
  <si>
    <t>n/a   Not applicable</t>
  </si>
  <si>
    <t>Labels</t>
  </si>
  <si>
    <t>Stat sign</t>
  </si>
  <si>
    <t>Dummy variable</t>
  </si>
  <si>
    <t>'s'     Data suppressed due to small numbers</t>
  </si>
  <si>
    <t>Tribal Council Areas</t>
  </si>
  <si>
    <t>Health Regions</t>
  </si>
  <si>
    <t>Counts</t>
  </si>
  <si>
    <t>Crude rates</t>
  </si>
  <si>
    <t>Rural On-Reserve vs MB Other Lowest Rural</t>
  </si>
  <si>
    <t>Urban Off-Reserve vs MB Other Lowest Urban</t>
  </si>
  <si>
    <t>Urban Off-Reserve vs MB Other Highest Urban</t>
  </si>
  <si>
    <t>Rural On-Reserve vs MB Other Highest Rural</t>
  </si>
  <si>
    <t>Rural Off-Reserve vs MB Other Lowest Rural</t>
  </si>
  <si>
    <t>Rural Off-Reserve vs MB Other Highest Rural</t>
  </si>
  <si>
    <t>First Nations    On-Reserve</t>
  </si>
  <si>
    <t>BM_sign</t>
  </si>
  <si>
    <t>b</t>
  </si>
  <si>
    <t>Benchmark</t>
  </si>
  <si>
    <t>First Nations On-Reserve vs benchmark</t>
  </si>
  <si>
    <t>BM_relrisk</t>
  </si>
  <si>
    <t>BM_lcl_rr</t>
  </si>
  <si>
    <t>BM_ucl_rr</t>
  </si>
  <si>
    <t>First Nations On-Reserve Avg</t>
  </si>
  <si>
    <t>Lowest Urban</t>
  </si>
  <si>
    <t>Highest Urban</t>
  </si>
  <si>
    <t>Lowest Rural</t>
  </si>
  <si>
    <t>Highest Rural</t>
  </si>
  <si>
    <t>ON RESERVE</t>
  </si>
  <si>
    <t>Southeast (SERDC)</t>
  </si>
  <si>
    <t>Tribal Council Area</t>
  </si>
  <si>
    <t>First Nations Average</t>
  </si>
  <si>
    <t>First Nations Off-Reserve Avg</t>
  </si>
  <si>
    <t>On-Reserve vs On-reserve Avg</t>
  </si>
  <si>
    <t>Off-Reserve vs Off-reserve Avg</t>
  </si>
  <si>
    <t>All First Nations vs All First Nation Avg</t>
  </si>
  <si>
    <t>All Other Manitobans vs All Other Manitobans Avg</t>
  </si>
  <si>
    <t>All First Nations vs All Other Mnaitobans</t>
  </si>
  <si>
    <t>All First Nations Avg</t>
  </si>
  <si>
    <t>All Other Manitobans Avg</t>
  </si>
  <si>
    <t>BY TREATY AREA GRAPH</t>
  </si>
  <si>
    <t>BY RHA GRAPH</t>
  </si>
  <si>
    <t>BY INCOME GRAPH</t>
  </si>
  <si>
    <t>BY INCOME GRAPH - lowest income only</t>
  </si>
  <si>
    <t>f</t>
  </si>
  <si>
    <t>a</t>
  </si>
  <si>
    <t xml:space="preserve">Id: S:\fnkids\prog\Wendy\Models\CIC\model_CIC.sas date:   October 18, 2018  user: WendyA  host: SAL-DA-1 </t>
  </si>
  <si>
    <t xml:space="preserve">date:   October 18, 2018 </t>
  </si>
  <si>
    <t>AOMB_pop</t>
  </si>
  <si>
    <t>AOMB_crd_rate</t>
  </si>
  <si>
    <t>AOMB_adj_rate</t>
  </si>
  <si>
    <t>AOMB_Lcl_adj</t>
  </si>
  <si>
    <t>AOMB_Ucl_adj</t>
  </si>
  <si>
    <t>AOMB_relrisk</t>
  </si>
  <si>
    <t>AOMB_Lcl_rr</t>
  </si>
  <si>
    <t>AOMB_Ucl_rr</t>
  </si>
  <si>
    <t>AOMB_prob</t>
  </si>
  <si>
    <t>FNvsAOMB_relrisk</t>
  </si>
  <si>
    <t>FNvsAOMB_lcl_rr</t>
  </si>
  <si>
    <t>FNvsAOMB_ucl_rr</t>
  </si>
  <si>
    <t>FNvsAOMB_prob</t>
  </si>
  <si>
    <t>AOMB_sign</t>
  </si>
  <si>
    <t>FNvsAOMB_sign</t>
  </si>
  <si>
    <t>AOMB_suppress</t>
  </si>
  <si>
    <t>d</t>
  </si>
  <si>
    <t>PT Public Trustee</t>
  </si>
  <si>
    <t>Crude and Adjusted CIC Rates (ages 0to17), per 100 children by Treaty Area for FN On Reserve vs (MB FN On Reserve), 2016/17, age and sex adjusted</t>
  </si>
  <si>
    <t>treaty_CIC</t>
  </si>
  <si>
    <t>treaty_Ucl_adj</t>
  </si>
  <si>
    <t>treaty_ONvsFNON_relrisk</t>
  </si>
  <si>
    <t>treaty_ONvsFNON_lcl_rr</t>
  </si>
  <si>
    <t>treaty_ONvsFNON_ucl_rr</t>
  </si>
  <si>
    <t>treaty_ONvsFNON_prob</t>
  </si>
  <si>
    <t>bm_treaty</t>
  </si>
  <si>
    <t>BM_prob</t>
  </si>
  <si>
    <t>treaty_ONvsFNON_sign</t>
  </si>
  <si>
    <t>treaty_ONvsFNON_suppress</t>
  </si>
  <si>
    <t>Treaty 3</t>
  </si>
  <si>
    <t>I</t>
  </si>
  <si>
    <t>Treaty 6</t>
  </si>
  <si>
    <t>SOURCE:</t>
  </si>
  <si>
    <t>tribal_pop</t>
  </si>
  <si>
    <t>tribal_crd_rate</t>
  </si>
  <si>
    <t>bm_tribal</t>
  </si>
  <si>
    <t>Keewatin</t>
  </si>
  <si>
    <t>Interlake Reserves</t>
  </si>
  <si>
    <t>Island Lake</t>
  </si>
  <si>
    <t>Dakota Ojibway</t>
  </si>
  <si>
    <t>Swampy Cree Nation</t>
  </si>
  <si>
    <t>West Region</t>
  </si>
  <si>
    <t>Southeast Resource</t>
  </si>
  <si>
    <t>Treaty hidden - Do not delete</t>
  </si>
  <si>
    <t>On-Reserve vs benchmark</t>
  </si>
  <si>
    <t>tribal_relrisk</t>
  </si>
  <si>
    <t>tribal_lcl_rr</t>
  </si>
  <si>
    <t>tribal_ucl_rr</t>
  </si>
  <si>
    <t>tribal_prob</t>
  </si>
  <si>
    <t>tribal_ONvsOFF_relrisk</t>
  </si>
  <si>
    <t>tribal_ONvsOFF_lcl_rr</t>
  </si>
  <si>
    <t>tribal_ONvsOFF_ucl_rr</t>
  </si>
  <si>
    <t>tribal_ONvsOFF_prob</t>
  </si>
  <si>
    <t>tribal_sign</t>
  </si>
  <si>
    <t>tribal_ONvsOFF_sign</t>
  </si>
  <si>
    <t>tribal_suppress</t>
  </si>
  <si>
    <t>BM_suppress</t>
  </si>
  <si>
    <t>tribal_ONvsOFF_suppress</t>
  </si>
  <si>
    <t>All FN On Reserve</t>
  </si>
  <si>
    <t>All FN Off Reserve</t>
  </si>
  <si>
    <t xml:space="preserve">  </t>
  </si>
  <si>
    <t xml:space="preserve">Tribal On vs Off </t>
  </si>
  <si>
    <t>First Nations On/off Reserve</t>
  </si>
  <si>
    <t>First Nations On/Off Reserve Avg</t>
  </si>
  <si>
    <t>BY TRIBAL COUNCIL AREA - ON &amp; Off RESERVE</t>
  </si>
  <si>
    <t>BM_sign_OFF</t>
  </si>
  <si>
    <t>BM_sign_ON</t>
  </si>
  <si>
    <t>ON &amp; OFF RESERVE</t>
  </si>
  <si>
    <t>orig_income_HL</t>
  </si>
  <si>
    <t>orig_income_L</t>
  </si>
  <si>
    <t>Benchmark Tribal Council</t>
  </si>
  <si>
    <t>FN_ON_child_mortality</t>
  </si>
  <si>
    <t>FN_OFF_child_mortality</t>
  </si>
  <si>
    <t>FN_child_mortality</t>
  </si>
  <si>
    <t>AOMB_child_mortality</t>
  </si>
  <si>
    <t>s</t>
  </si>
  <si>
    <t>Crude child_mortality Rates (ages 1to19), per 100,000 children by Tribal Council for FN On/Off Reserve vs MB FN On/Off Reserve, 2012-2016</t>
  </si>
  <si>
    <t>tribal_child_mortality</t>
  </si>
  <si>
    <t>tribal_lcl_crd</t>
  </si>
  <si>
    <t>tribal_ucl_crd</t>
  </si>
  <si>
    <t>Crude child_mortality Rates (ages 1to19), per 100,000 children by FN Urban Off reserve and Rural On/Off reserve vs (Lowest and Highest Urban/Rural Income Quintile for MB AOMB), 2012-2016</t>
  </si>
  <si>
    <t>chquint</t>
  </si>
  <si>
    <t>child_mortality</t>
  </si>
  <si>
    <t>Z</t>
  </si>
  <si>
    <t>Q1</t>
  </si>
  <si>
    <t>Q2</t>
  </si>
  <si>
    <t>Q3</t>
  </si>
  <si>
    <t>Q4</t>
  </si>
  <si>
    <t>Q5</t>
  </si>
  <si>
    <t>"P:\fnkids\Analyses\Wendy\Child Mortality\child_mortality_rha.txt"</t>
  </si>
  <si>
    <t>"P:\fnkids\Analyses\Wendy\Child Mortality\child_mortality_tribal.txt"</t>
  </si>
  <si>
    <t>P:\fnkids\Analyses\Wendy\Child Mortality\child_mortality_IQ.txt</t>
  </si>
  <si>
    <t>Crude and Adjusted child_mortality Rates (ages 1to19), per 100,000 children by FN in Health Region vs (MB FN, AOMB in Health Region), 2012-2016, age and sex adjusted</t>
  </si>
  <si>
    <t xml:space="preserve">Id: S:\fnkids\prog\Wendy\Models\Child Mortality\model_child_mortality.sas date:   December 2, 2019  user: WendyA  host: SAL-DA-1 </t>
  </si>
  <si>
    <t xml:space="preserve">date:   December 2, 2019 </t>
  </si>
  <si>
    <t>Per 100,000 children aged 1-19 years, 2012-2016</t>
  </si>
  <si>
    <t xml:space="preserve"> Child Mortality Counts and Crude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</si>
</sst>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0.0"/>
    <numFmt numFmtId="168" formatCode="_-&quot;$&quot;* #,##0.0_-;\-&quot;$&quot;* #,##0.0_-;_-&quot;$&quot;* &quot;-&quot;?_-;_-@_-"/>
    <numFmt numFmtId="169" formatCode="0.0%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Segoe UI"/>
      <family val="2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b/>
      <sz val="9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Segoe UI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>
        <fgColor auto="1"/>
      </patternFill>
    </fill>
    <fill>
      <patternFill patternType="solid">
        <fgColor indexed="65"/>
        <bgColor theme="0"/>
      </patternFill>
    </fill>
    <fill>
      <patternFill patternType="solid">
        <fgColor theme="3"/>
        <bgColor theme="3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theme="0"/>
      </patternFill>
    </fill>
    <fill>
      <patternFill patternType="darkUp"/>
    </fill>
    <fill>
      <patternFill patternType="solid">
        <fgColor theme="0"/>
        <bgColor theme="0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/>
      <bottom style="thin">
        <color theme="7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7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7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/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7"/>
      </left>
      <right/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 style="hair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theme="7"/>
      </right>
      <top style="thin">
        <color theme="0"/>
      </top>
      <bottom/>
      <diagonal/>
    </border>
    <border>
      <left/>
      <right/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7"/>
      </bottom>
      <diagonal/>
    </border>
    <border>
      <left/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7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 style="hair">
        <color theme="7"/>
      </left>
      <right/>
      <top style="thin">
        <color theme="0"/>
      </top>
      <bottom/>
      <diagonal/>
    </border>
    <border>
      <left style="hair">
        <color theme="7"/>
      </left>
      <right style="thin">
        <color theme="7"/>
      </right>
      <top style="thin">
        <color theme="0"/>
      </top>
      <bottom/>
      <diagonal/>
    </border>
    <border>
      <left style="hair">
        <color theme="7"/>
      </left>
      <right/>
      <top/>
      <bottom/>
      <diagonal/>
    </border>
  </borders>
  <cellStyleXfs count="65">
    <xf numFmtId="0" fontId="0" fillId="0" borderId="0"/>
    <xf numFmtId="0" fontId="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2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8" fillId="0" borderId="0" applyNumberFormat="0" applyFill="0" applyBorder="0" applyAlignment="0" applyProtection="0"/>
    <xf numFmtId="0" fontId="3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ont="0" applyFill="0" applyBorder="0" applyAlignment="0">
      <alignment horizontal="center"/>
    </xf>
    <xf numFmtId="0" fontId="8" fillId="0" borderId="0"/>
    <xf numFmtId="49" fontId="3" fillId="32" borderId="10" applyFill="0">
      <alignment horizontal="center" vertical="center"/>
    </xf>
    <xf numFmtId="3" fontId="3" fillId="32" borderId="10" applyFill="0">
      <alignment horizontal="right" vertical="center" indent="1"/>
    </xf>
    <xf numFmtId="167" fontId="3" fillId="32" borderId="10" applyFill="0">
      <alignment horizontal="right" vertical="center" indent="1"/>
    </xf>
    <xf numFmtId="2" fontId="3" fillId="32" borderId="10" applyFill="0">
      <alignment horizontal="right" vertical="center" indent="1"/>
    </xf>
    <xf numFmtId="164" fontId="14" fillId="32" borderId="10" applyFill="0">
      <alignment horizontal="right" vertical="center" indent="1"/>
    </xf>
    <xf numFmtId="168" fontId="3" fillId="32" borderId="10" applyFill="0">
      <alignment horizontal="right" vertical="center" indent="1"/>
    </xf>
    <xf numFmtId="165" fontId="3" fillId="32" borderId="10" applyFill="0">
      <alignment horizontal="right" vertical="center" indent="1"/>
    </xf>
    <xf numFmtId="9" fontId="3" fillId="32" borderId="10" applyFill="0">
      <alignment horizontal="right" vertical="center" indent="1"/>
    </xf>
    <xf numFmtId="169" fontId="3" fillId="32" borderId="10" applyFill="0">
      <alignment horizontal="right" vertical="center" indent="1"/>
    </xf>
    <xf numFmtId="10" fontId="3" fillId="32" borderId="10" applyFill="0">
      <alignment horizontal="right" vertical="center" indent="1"/>
    </xf>
    <xf numFmtId="0" fontId="16" fillId="32" borderId="0">
      <alignment horizontal="left" vertical="top"/>
    </xf>
    <xf numFmtId="0" fontId="18" fillId="32" borderId="10" applyFill="0">
      <alignment horizontal="center" vertical="center"/>
    </xf>
    <xf numFmtId="0" fontId="5" fillId="32" borderId="0">
      <alignment horizontal="center" vertical="center" wrapText="1"/>
    </xf>
    <xf numFmtId="0" fontId="4" fillId="33" borderId="12">
      <alignment horizontal="center" vertical="center" wrapText="1"/>
    </xf>
    <xf numFmtId="0" fontId="5" fillId="32" borderId="13" applyFill="0">
      <alignment horizontal="left" vertical="center" indent="1"/>
    </xf>
    <xf numFmtId="49" fontId="5" fillId="34" borderId="0">
      <alignment horizontal="left" vertical="center" indent="1"/>
    </xf>
    <xf numFmtId="49" fontId="26" fillId="32" borderId="0"/>
    <xf numFmtId="49" fontId="5" fillId="32" borderId="0">
      <alignment vertical="center"/>
    </xf>
    <xf numFmtId="0" fontId="30" fillId="0" borderId="0" applyNumberFormat="0" applyFill="0" applyBorder="0" applyAlignment="0" applyProtection="0"/>
    <xf numFmtId="166" fontId="1" fillId="0" borderId="0" applyFont="0" applyFill="0" applyBorder="0" applyAlignment="0" applyProtection="0"/>
  </cellStyleXfs>
  <cellXfs count="107">
    <xf numFmtId="0" fontId="0" fillId="0" borderId="0" xfId="0"/>
    <xf numFmtId="11" fontId="0" fillId="0" borderId="0" xfId="0" applyNumberFormat="1"/>
    <xf numFmtId="0" fontId="0" fillId="0" borderId="0" xfId="0"/>
    <xf numFmtId="0" fontId="9" fillId="0" borderId="0" xfId="43" applyFont="1" applyBorder="1" applyAlignment="1">
      <alignment vertical="top"/>
    </xf>
    <xf numFmtId="0" fontId="9" fillId="0" borderId="0" xfId="43" applyFont="1" applyBorder="1" applyAlignment="1">
      <alignment vertical="top" wrapText="1"/>
    </xf>
    <xf numFmtId="0" fontId="2" fillId="0" borderId="0" xfId="44" applyFont="1"/>
    <xf numFmtId="0" fontId="2" fillId="0" borderId="0" xfId="43" applyFont="1" applyBorder="1" applyAlignment="1">
      <alignment vertical="top"/>
    </xf>
    <xf numFmtId="0" fontId="2" fillId="0" borderId="0" xfId="44" applyFont="1" applyAlignment="1">
      <alignment vertical="center"/>
    </xf>
    <xf numFmtId="0" fontId="2" fillId="0" borderId="0" xfId="44" applyFont="1" applyAlignment="1">
      <alignment horizontal="center" vertical="center"/>
    </xf>
    <xf numFmtId="1" fontId="2" fillId="0" borderId="0" xfId="44" applyNumberFormat="1" applyFont="1"/>
    <xf numFmtId="0" fontId="2" fillId="0" borderId="0" xfId="44" applyFont="1" applyBorder="1" applyAlignment="1">
      <alignment vertical="center"/>
    </xf>
    <xf numFmtId="0" fontId="2" fillId="0" borderId="0" xfId="44" applyFont="1" applyBorder="1"/>
    <xf numFmtId="0" fontId="4" fillId="33" borderId="15" xfId="58" applyBorder="1">
      <alignment horizontal="center" vertical="center" wrapText="1"/>
    </xf>
    <xf numFmtId="0" fontId="2" fillId="0" borderId="14" xfId="43" applyFont="1" applyBorder="1" applyAlignment="1">
      <alignment vertical="top"/>
    </xf>
    <xf numFmtId="0" fontId="9" fillId="0" borderId="14" xfId="43" applyFont="1" applyBorder="1" applyAlignment="1">
      <alignment vertical="top" wrapText="1"/>
    </xf>
    <xf numFmtId="0" fontId="0" fillId="0" borderId="18" xfId="0" applyBorder="1"/>
    <xf numFmtId="0" fontId="0" fillId="0" borderId="0" xfId="0" applyFill="1"/>
    <xf numFmtId="0" fontId="4" fillId="33" borderId="19" xfId="58" applyBorder="1">
      <alignment horizontal="center" vertical="center" wrapText="1"/>
    </xf>
    <xf numFmtId="0" fontId="2" fillId="0" borderId="16" xfId="44" applyFont="1" applyBorder="1"/>
    <xf numFmtId="0" fontId="2" fillId="0" borderId="16" xfId="44" applyFont="1" applyBorder="1" applyAlignment="1">
      <alignment horizontal="center" vertical="center"/>
    </xf>
    <xf numFmtId="0" fontId="2" fillId="0" borderId="0" xfId="44" quotePrefix="1" applyFont="1"/>
    <xf numFmtId="0" fontId="0" fillId="0" borderId="24" xfId="0" applyBorder="1"/>
    <xf numFmtId="0" fontId="0" fillId="0" borderId="27" xfId="0" applyBorder="1"/>
    <xf numFmtId="0" fontId="0" fillId="0" borderId="0" xfId="0" applyBorder="1"/>
    <xf numFmtId="0" fontId="0" fillId="0" borderId="28" xfId="0" applyBorder="1"/>
    <xf numFmtId="0" fontId="0" fillId="0" borderId="31" xfId="0" applyBorder="1" applyAlignment="1">
      <alignment wrapText="1"/>
    </xf>
    <xf numFmtId="0" fontId="0" fillId="35" borderId="0" xfId="0" applyFill="1"/>
    <xf numFmtId="0" fontId="0" fillId="0" borderId="31" xfId="0" applyBorder="1" applyAlignment="1">
      <alignment vertical="top" wrapText="1"/>
    </xf>
    <xf numFmtId="15" fontId="29" fillId="0" borderId="32" xfId="0" applyNumberFormat="1" applyFont="1" applyFill="1" applyBorder="1"/>
    <xf numFmtId="0" fontId="0" fillId="0" borderId="0" xfId="0" applyAlignment="1">
      <alignment horizontal="left"/>
    </xf>
    <xf numFmtId="0" fontId="5" fillId="0" borderId="0" xfId="0" applyFont="1" applyAlignment="1"/>
    <xf numFmtId="0" fontId="2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0" fillId="0" borderId="30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wrapText="1"/>
    </xf>
    <xf numFmtId="0" fontId="0" fillId="36" borderId="30" xfId="0" applyFill="1" applyBorder="1" applyAlignment="1">
      <alignment horizontal="left"/>
    </xf>
    <xf numFmtId="0" fontId="4" fillId="33" borderId="15" xfId="58" applyBorder="1">
      <alignment horizontal="center" vertical="center" wrapText="1"/>
    </xf>
    <xf numFmtId="0" fontId="0" fillId="0" borderId="30" xfId="0" applyFill="1" applyBorder="1" applyAlignment="1">
      <alignment horizontal="left"/>
    </xf>
    <xf numFmtId="0" fontId="27" fillId="0" borderId="25" xfId="0" applyFont="1" applyBorder="1"/>
    <xf numFmtId="0" fontId="27" fillId="0" borderId="26" xfId="0" applyFont="1" applyBorder="1"/>
    <xf numFmtId="0" fontId="0" fillId="0" borderId="27" xfId="0" applyFill="1" applyBorder="1"/>
    <xf numFmtId="4" fontId="2" fillId="37" borderId="37" xfId="44" applyNumberFormat="1" applyFont="1" applyFill="1" applyBorder="1" applyAlignment="1">
      <alignment horizontal="right" vertical="center" indent="3"/>
    </xf>
    <xf numFmtId="3" fontId="3" fillId="0" borderId="0" xfId="64" quotePrefix="1" applyNumberFormat="1" applyFont="1" applyFill="1" applyBorder="1" applyAlignment="1">
      <alignment horizontal="right" vertical="center" indent="3"/>
    </xf>
    <xf numFmtId="2" fontId="3" fillId="0" borderId="0" xfId="60" quotePrefix="1" applyNumberFormat="1" applyFont="1" applyFill="1" applyBorder="1" applyAlignment="1">
      <alignment horizontal="right" vertical="center" indent="3"/>
    </xf>
    <xf numFmtId="3" fontId="3" fillId="0" borderId="0" xfId="64" applyNumberFormat="1" applyFont="1" applyFill="1" applyBorder="1" applyAlignment="1">
      <alignment horizontal="right" vertical="center" indent="3"/>
    </xf>
    <xf numFmtId="2" fontId="3" fillId="0" borderId="0" xfId="60" applyNumberFormat="1" applyFont="1" applyFill="1" applyBorder="1" applyAlignment="1">
      <alignment horizontal="right" vertical="center" indent="3"/>
    </xf>
    <xf numFmtId="49" fontId="5" fillId="34" borderId="34" xfId="60" applyNumberFormat="1" applyFont="1" applyFill="1" applyBorder="1" applyAlignment="1">
      <alignment horizontal="left" vertical="center" indent="1"/>
    </xf>
    <xf numFmtId="49" fontId="5" fillId="0" borderId="39" xfId="60" applyFont="1" applyFill="1" applyBorder="1" applyAlignment="1">
      <alignment horizontal="left" vertical="center" indent="2"/>
    </xf>
    <xf numFmtId="0" fontId="5" fillId="39" borderId="0" xfId="0" applyFont="1" applyFill="1" applyAlignment="1">
      <alignment horizontal="left"/>
    </xf>
    <xf numFmtId="0" fontId="27" fillId="39" borderId="0" xfId="0" applyFont="1" applyFill="1" applyAlignment="1">
      <alignment horizontal="left"/>
    </xf>
    <xf numFmtId="0" fontId="0" fillId="39" borderId="0" xfId="0" applyFill="1" applyAlignment="1">
      <alignment horizontal="left"/>
    </xf>
    <xf numFmtId="0" fontId="4" fillId="33" borderId="41" xfId="58" applyBorder="1">
      <alignment horizontal="center" vertical="center" wrapText="1"/>
    </xf>
    <xf numFmtId="0" fontId="4" fillId="33" borderId="42" xfId="58" applyBorder="1">
      <alignment horizontal="center" vertical="center" wrapText="1"/>
    </xf>
    <xf numFmtId="0" fontId="0" fillId="39" borderId="0" xfId="0" applyFill="1"/>
    <xf numFmtId="0" fontId="24" fillId="0" borderId="0" xfId="8" applyFill="1"/>
    <xf numFmtId="0" fontId="0" fillId="0" borderId="0" xfId="0" applyAlignment="1">
      <alignment horizontal="center"/>
    </xf>
    <xf numFmtId="0" fontId="9" fillId="37" borderId="10" xfId="44" applyNumberFormat="1" applyFont="1" applyFill="1" applyBorder="1" applyAlignment="1">
      <alignment horizontal="left" vertical="center" indent="2"/>
    </xf>
    <xf numFmtId="0" fontId="9" fillId="38" borderId="10" xfId="44" applyNumberFormat="1" applyFont="1" applyFill="1" applyBorder="1" applyAlignment="1">
      <alignment horizontal="left" vertical="center" indent="2"/>
    </xf>
    <xf numFmtId="0" fontId="9" fillId="37" borderId="38" xfId="44" applyNumberFormat="1" applyFont="1" applyFill="1" applyBorder="1" applyAlignment="1">
      <alignment horizontal="left" vertical="center" indent="2"/>
    </xf>
    <xf numFmtId="0" fontId="31" fillId="39" borderId="0" xfId="0" applyFont="1" applyFill="1"/>
    <xf numFmtId="3" fontId="2" fillId="40" borderId="23" xfId="44" applyNumberFormat="1" applyFont="1" applyFill="1" applyBorder="1" applyAlignment="1">
      <alignment horizontal="right" vertical="center" indent="3"/>
    </xf>
    <xf numFmtId="4" fontId="2" fillId="40" borderId="16" xfId="44" applyNumberFormat="1" applyFont="1" applyFill="1" applyBorder="1" applyAlignment="1">
      <alignment horizontal="right" vertical="center" indent="3"/>
    </xf>
    <xf numFmtId="0" fontId="4" fillId="33" borderId="44" xfId="58" applyBorder="1">
      <alignment horizontal="center" vertical="center" wrapText="1"/>
    </xf>
    <xf numFmtId="0" fontId="27" fillId="0" borderId="0" xfId="0" applyFont="1" applyFill="1" applyAlignment="1">
      <alignment horizontal="left"/>
    </xf>
    <xf numFmtId="0" fontId="28" fillId="0" borderId="0" xfId="0" applyFont="1" applyFill="1" applyAlignment="1">
      <alignment horizontal="left" wrapText="1"/>
    </xf>
    <xf numFmtId="0" fontId="0" fillId="0" borderId="0" xfId="0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7" fillId="0" borderId="0" xfId="0" applyFont="1" applyFill="1" applyAlignment="1">
      <alignment horizontal="left" vertical="center" wrapText="1"/>
    </xf>
    <xf numFmtId="3" fontId="2" fillId="42" borderId="23" xfId="44" applyNumberFormat="1" applyFont="1" applyFill="1" applyBorder="1" applyAlignment="1">
      <alignment horizontal="right" vertical="center" indent="3"/>
    </xf>
    <xf numFmtId="4" fontId="2" fillId="42" borderId="16" xfId="44" applyNumberFormat="1" applyFont="1" applyFill="1" applyBorder="1" applyAlignment="1">
      <alignment horizontal="right" vertical="center" indent="3"/>
    </xf>
    <xf numFmtId="0" fontId="27" fillId="0" borderId="28" xfId="0" applyFont="1" applyBorder="1"/>
    <xf numFmtId="0" fontId="27" fillId="0" borderId="0" xfId="0" applyFont="1" applyBorder="1"/>
    <xf numFmtId="0" fontId="0" fillId="36" borderId="0" xfId="0" applyFill="1" applyBorder="1" applyAlignment="1">
      <alignment horizontal="left"/>
    </xf>
    <xf numFmtId="0" fontId="30" fillId="0" borderId="46" xfId="63" applyBorder="1"/>
    <xf numFmtId="0" fontId="30" fillId="0" borderId="46" xfId="63" applyFill="1" applyBorder="1"/>
    <xf numFmtId="0" fontId="9" fillId="37" borderId="48" xfId="44" applyNumberFormat="1" applyFont="1" applyFill="1" applyBorder="1" applyAlignment="1">
      <alignment horizontal="left" vertical="center" indent="2"/>
    </xf>
    <xf numFmtId="3" fontId="2" fillId="37" borderId="48" xfId="44" applyNumberFormat="1" applyFont="1" applyFill="1" applyBorder="1" applyAlignment="1">
      <alignment horizontal="right" vertical="center" indent="3"/>
    </xf>
    <xf numFmtId="4" fontId="2" fillId="37" borderId="49" xfId="44" applyNumberFormat="1" applyFont="1" applyFill="1" applyBorder="1" applyAlignment="1">
      <alignment horizontal="right" vertical="center" indent="3"/>
    </xf>
    <xf numFmtId="4" fontId="2" fillId="37" borderId="50" xfId="44" applyNumberFormat="1" applyFont="1" applyFill="1" applyBorder="1" applyAlignment="1">
      <alignment horizontal="right" vertical="center" indent="3"/>
    </xf>
    <xf numFmtId="0" fontId="9" fillId="38" borderId="35" xfId="44" applyNumberFormat="1" applyFont="1" applyFill="1" applyBorder="1" applyAlignment="1">
      <alignment horizontal="left" vertical="center" indent="2"/>
    </xf>
    <xf numFmtId="3" fontId="2" fillId="38" borderId="35" xfId="44" applyNumberFormat="1" applyFont="1" applyFill="1" applyBorder="1" applyAlignment="1">
      <alignment horizontal="right" vertical="center" indent="3"/>
    </xf>
    <xf numFmtId="4" fontId="2" fillId="38" borderId="51" xfId="44" applyNumberFormat="1" applyFont="1" applyFill="1" applyBorder="1" applyAlignment="1">
      <alignment horizontal="right" vertical="center" indent="3"/>
    </xf>
    <xf numFmtId="4" fontId="2" fillId="38" borderId="37" xfId="44" applyNumberFormat="1" applyFont="1" applyFill="1" applyBorder="1" applyAlignment="1">
      <alignment horizontal="right" vertical="center" indent="3"/>
    </xf>
    <xf numFmtId="0" fontId="9" fillId="37" borderId="35" xfId="44" applyNumberFormat="1" applyFont="1" applyFill="1" applyBorder="1" applyAlignment="1">
      <alignment horizontal="left" vertical="center" indent="2"/>
    </xf>
    <xf numFmtId="3" fontId="2" fillId="37" borderId="35" xfId="44" applyNumberFormat="1" applyFont="1" applyFill="1" applyBorder="1" applyAlignment="1">
      <alignment horizontal="right" vertical="center" indent="3"/>
    </xf>
    <xf numFmtId="4" fontId="2" fillId="37" borderId="51" xfId="44" applyNumberFormat="1" applyFont="1" applyFill="1" applyBorder="1" applyAlignment="1">
      <alignment horizontal="right" vertical="center" indent="3"/>
    </xf>
    <xf numFmtId="49" fontId="5" fillId="34" borderId="47" xfId="60" applyNumberFormat="1" applyFont="1" applyFill="1" applyBorder="1" applyAlignment="1">
      <alignment horizontal="left" vertical="center" indent="1"/>
    </xf>
    <xf numFmtId="4" fontId="5" fillId="34" borderId="33" xfId="60" applyNumberFormat="1" applyFont="1" applyFill="1" applyBorder="1" applyAlignment="1">
      <alignment horizontal="right" vertical="center" indent="3"/>
    </xf>
    <xf numFmtId="3" fontId="5" fillId="34" borderId="47" xfId="60" applyNumberFormat="1" applyFont="1" applyFill="1" applyBorder="1" applyAlignment="1">
      <alignment horizontal="right" vertical="center" indent="3"/>
    </xf>
    <xf numFmtId="4" fontId="5" fillId="34" borderId="36" xfId="60" applyNumberFormat="1" applyFont="1" applyFill="1" applyBorder="1" applyAlignment="1">
      <alignment horizontal="right" vertical="center" indent="3"/>
    </xf>
    <xf numFmtId="3" fontId="5" fillId="34" borderId="47" xfId="60" applyNumberFormat="1" applyBorder="1" applyAlignment="1">
      <alignment horizontal="right" vertical="center" indent="3"/>
    </xf>
    <xf numFmtId="2" fontId="5" fillId="34" borderId="36" xfId="60" applyNumberFormat="1" applyBorder="1" applyAlignment="1">
      <alignment horizontal="right" vertical="center" indent="3"/>
    </xf>
    <xf numFmtId="0" fontId="4" fillId="33" borderId="20" xfId="58" applyBorder="1">
      <alignment horizontal="center" vertical="center" wrapText="1"/>
    </xf>
    <xf numFmtId="0" fontId="4" fillId="33" borderId="22" xfId="58" applyBorder="1">
      <alignment horizontal="center" vertical="center" wrapText="1"/>
    </xf>
    <xf numFmtId="0" fontId="4" fillId="33" borderId="17" xfId="58" applyBorder="1">
      <alignment horizontal="center" vertical="center" wrapText="1"/>
    </xf>
    <xf numFmtId="0" fontId="4" fillId="33" borderId="21" xfId="58" applyBorder="1">
      <alignment horizontal="center" vertical="center" wrapText="1"/>
    </xf>
    <xf numFmtId="0" fontId="4" fillId="33" borderId="40" xfId="58" applyBorder="1">
      <alignment horizontal="center" vertical="center" wrapText="1"/>
    </xf>
    <xf numFmtId="0" fontId="4" fillId="33" borderId="43" xfId="58" applyBorder="1">
      <alignment horizontal="center" vertical="center" wrapText="1"/>
    </xf>
    <xf numFmtId="0" fontId="4" fillId="33" borderId="45" xfId="58" applyBorder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41" borderId="25" xfId="0" applyFill="1" applyBorder="1" applyAlignment="1">
      <alignment horizontal="center"/>
    </xf>
    <xf numFmtId="0" fontId="0" fillId="41" borderId="0" xfId="0" applyFill="1" applyAlignment="1">
      <alignment horizontal="center"/>
    </xf>
    <xf numFmtId="0" fontId="0" fillId="41" borderId="30" xfId="0" applyFill="1" applyBorder="1" applyAlignment="1">
      <alignment horizontal="center"/>
    </xf>
  </cellXfs>
  <cellStyles count="6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64" builtinId="3"/>
    <cellStyle name="crude rate tables" xfId="43" xr:uid="{00000000-0005-0000-0000-00001C000000}"/>
    <cellStyle name="Data - text" xfId="45" xr:uid="{00000000-0005-0000-0000-00001D000000}"/>
    <cellStyle name="Data#-0 Decimals" xfId="46" xr:uid="{00000000-0005-0000-0000-00001E000000}"/>
    <cellStyle name="Data#-1 Decimal" xfId="47" xr:uid="{00000000-0005-0000-0000-00001F000000}"/>
    <cellStyle name="Data#-2 Decimals" xfId="48" xr:uid="{00000000-0005-0000-0000-000020000000}"/>
    <cellStyle name="Data$-0 Decimal" xfId="49" xr:uid="{00000000-0005-0000-0000-000021000000}"/>
    <cellStyle name="Data$-1 Decimal" xfId="50" xr:uid="{00000000-0005-0000-0000-000022000000}"/>
    <cellStyle name="Data$-2 Decimals" xfId="51" xr:uid="{00000000-0005-0000-0000-000023000000}"/>
    <cellStyle name="Data%-0 Decimal" xfId="52" xr:uid="{00000000-0005-0000-0000-000024000000}"/>
    <cellStyle name="Data%-1 Decimal" xfId="53" xr:uid="{00000000-0005-0000-0000-000025000000}"/>
    <cellStyle name="Data%-2 Decimals" xfId="54" xr:uid="{00000000-0005-0000-0000-000026000000}"/>
    <cellStyle name="Explanatory Text" xfId="16" builtinId="53" customBuiltin="1"/>
    <cellStyle name="Footnote" xfId="55" xr:uid="{00000000-0005-0000-0000-000028000000}"/>
    <cellStyle name="Good" xfId="6" builtinId="26" customBuiltin="1"/>
    <cellStyle name="h i" xfId="56" xr:uid="{00000000-0005-0000-0000-00002A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63" builtinId="8"/>
    <cellStyle name="Input" xfId="9" builtinId="20" customBuiltin="1"/>
    <cellStyle name="Line Break" xfId="57" xr:uid="{00000000-0005-0000-0000-000031000000}"/>
    <cellStyle name="Linked Cell" xfId="12" builtinId="24" customBuiltin="1"/>
    <cellStyle name="Main heading X" xfId="58" xr:uid="{00000000-0005-0000-0000-000033000000}"/>
    <cellStyle name="Main heading Y" xfId="59" xr:uid="{00000000-0005-0000-0000-000034000000}"/>
    <cellStyle name="Neutral" xfId="8" builtinId="28" customBuiltin="1"/>
    <cellStyle name="Normal" xfId="0" builtinId="0" customBuiltin="1"/>
    <cellStyle name="Normal 3" xfId="44" xr:uid="{00000000-0005-0000-0000-000037000000}"/>
    <cellStyle name="Note" xfId="15" builtinId="10" customBuiltin="1"/>
    <cellStyle name="Output" xfId="10" builtinId="21" customBuiltin="1"/>
    <cellStyle name="Sub heading Y" xfId="60" xr:uid="{00000000-0005-0000-0000-00003A000000}"/>
    <cellStyle name="Subtitle" xfId="61" xr:uid="{00000000-0005-0000-0000-00003B000000}"/>
    <cellStyle name="Table title" xfId="62" xr:uid="{00000000-0005-0000-0000-00003C000000}"/>
    <cellStyle name="Title" xfId="1" builtinId="15" customBuiltin="1"/>
    <cellStyle name="Title 2" xfId="42" xr:uid="{00000000-0005-0000-0000-00003E000000}"/>
    <cellStyle name="Total" xfId="17" builtinId="25" customBuiltin="1"/>
    <cellStyle name="Warning Text" xfId="14" builtinId="11" customBuiltin="1"/>
  </cellStyles>
  <dxfs count="2">
    <dxf>
      <fill>
        <patternFill>
          <fgColor theme="3"/>
          <bgColor theme="3"/>
        </patternFill>
      </fill>
    </dxf>
    <dxf>
      <fill>
        <patternFill>
          <fgColor theme="0"/>
        </patternFill>
      </fill>
    </dxf>
  </dxfs>
  <tableStyles count="3" defaultTableStyle="TableStyleMedium2" defaultPivotStyle="PivotStyleLight16">
    <tableStyle name="Table Style 1" pivot="0" count="2" xr9:uid="{00000000-0011-0000-FFFF-FFFF00000000}">
      <tableStyleElement type="firstRowStripe" dxfId="1"/>
      <tableStyleElement type="secondRowStripe" dxfId="0"/>
    </tableStyle>
    <tableStyle name="Table Style 2" pivot="0" count="0" xr9:uid="{00000000-0011-0000-FFFF-FFFF01000000}"/>
    <tableStyle name="Table Style 3" pivot="0" count="0" xr9:uid="{00000000-0011-0000-FFFF-FFFF02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4.xml"/><Relationship Id="rId12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2.xml"/><Relationship Id="rId15" Type="http://schemas.openxmlformats.org/officeDocument/2006/relationships/calcChain" Target="calcChain.xml"/><Relationship Id="rId10" Type="http://schemas.openxmlformats.org/officeDocument/2006/relationships/worksheet" Target="worksheets/sheet7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6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70213481536316"/>
          <c:y val="0.1539624164575088"/>
          <c:w val="0.70552467993451384"/>
          <c:h val="0.61855463212570616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Data_Sheet!$U$2</c:f>
              <c:strCache>
                <c:ptCount val="1"/>
                <c:pt idx="0">
                  <c:v>First Nations On-Reserve Avg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trendline>
            <c:name>First Nations On-Reserve Avg</c:name>
            <c:spPr>
              <a:ln w="25400">
                <a:solidFill>
                  <a:schemeClr val="accent2"/>
                </a:solidFill>
                <a:prstDash val="dash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Data_Sheet!$A$4:$B$9</c:f>
              <c:multiLvlStrCache>
                <c:ptCount val="6"/>
                <c:lvl>
                  <c:pt idx="0">
                    <c:v>Southern Health-Santé Sud (4)</c:v>
                  </c:pt>
                  <c:pt idx="1">
                    <c:v>Winnipeg RHA (5)</c:v>
                  </c:pt>
                  <c:pt idx="2">
                    <c:v>Prairie Mountain Health  (5)</c:v>
                  </c:pt>
                  <c:pt idx="3">
                    <c:v>Interlake-Eastern RHA (5)</c:v>
                  </c:pt>
                  <c:pt idx="4">
                    <c:v>Northern Health Region (5)</c:v>
                  </c:pt>
                  <c:pt idx="5">
                    <c:v>Manitoba (5,6)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Data_Sheet!$U$4:$U$9</c:f>
              <c:numCache>
                <c:formatCode>General</c:formatCode>
                <c:ptCount val="6"/>
                <c:pt idx="0">
                  <c:v>85.393617887000005</c:v>
                </c:pt>
                <c:pt idx="1">
                  <c:v>85.393617887000005</c:v>
                </c:pt>
                <c:pt idx="2">
                  <c:v>85.393617887000005</c:v>
                </c:pt>
                <c:pt idx="3">
                  <c:v>85.393617887000005</c:v>
                </c:pt>
                <c:pt idx="4">
                  <c:v>85.393617887000005</c:v>
                </c:pt>
                <c:pt idx="5">
                  <c:v>85.393617887000005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471-4865-886A-43BAE3183E02}"/>
            </c:ext>
          </c:extLst>
        </c:ser>
        <c:ser>
          <c:idx val="6"/>
          <c:order val="1"/>
          <c:tx>
            <c:strRef>
              <c:f>Data_Sheet!$V$2</c:f>
              <c:strCache>
                <c:ptCount val="1"/>
                <c:pt idx="0">
                  <c:v>First Nations Off-Reserve Avg</c:v>
                </c:pt>
              </c:strCache>
            </c:strRef>
          </c:tx>
          <c:spPr>
            <a:noFill/>
          </c:spPr>
          <c:invertIfNegative val="0"/>
          <c:trendline>
            <c:name>First Nations Off-Reserve Avg</c:name>
            <c:spPr>
              <a:ln w="25400">
                <a:solidFill>
                  <a:schemeClr val="accent3"/>
                </a:solidFill>
                <a:prstDash val="dash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Data_Sheet!$A$4:$B$9</c:f>
              <c:multiLvlStrCache>
                <c:ptCount val="6"/>
                <c:lvl>
                  <c:pt idx="0">
                    <c:v>Southern Health-Santé Sud (4)</c:v>
                  </c:pt>
                  <c:pt idx="1">
                    <c:v>Winnipeg RHA (5)</c:v>
                  </c:pt>
                  <c:pt idx="2">
                    <c:v>Prairie Mountain Health  (5)</c:v>
                  </c:pt>
                  <c:pt idx="3">
                    <c:v>Interlake-Eastern RHA (5)</c:v>
                  </c:pt>
                  <c:pt idx="4">
                    <c:v>Northern Health Region (5)</c:v>
                  </c:pt>
                  <c:pt idx="5">
                    <c:v>Manitoba (5,6)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Data_Sheet!$V$4:$V$9</c:f>
              <c:numCache>
                <c:formatCode>General</c:formatCode>
                <c:ptCount val="6"/>
                <c:pt idx="0">
                  <c:v>48.803765536</c:v>
                </c:pt>
                <c:pt idx="1">
                  <c:v>48.803765536</c:v>
                </c:pt>
                <c:pt idx="2">
                  <c:v>48.803765536</c:v>
                </c:pt>
                <c:pt idx="3">
                  <c:v>48.803765536</c:v>
                </c:pt>
                <c:pt idx="4">
                  <c:v>48.803765536</c:v>
                </c:pt>
                <c:pt idx="5">
                  <c:v>48.803765536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471-4865-886A-43BAE3183E02}"/>
            </c:ext>
          </c:extLst>
        </c:ser>
        <c:ser>
          <c:idx val="2"/>
          <c:order val="2"/>
          <c:tx>
            <c:strRef>
              <c:f>Data_Sheet!$Q$2</c:f>
              <c:strCache>
                <c:ptCount val="1"/>
                <c:pt idx="0">
                  <c:v>First Nations On-Reserve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val>
            <c:numRef>
              <c:f>Data_Sheet!$Q$4:$Q$9</c:f>
              <c:numCache>
                <c:formatCode>General</c:formatCode>
                <c:ptCount val="6"/>
                <c:pt idx="0">
                  <c:v>61.589390928999997</c:v>
                </c:pt>
                <c:pt idx="1">
                  <c:v>0</c:v>
                </c:pt>
                <c:pt idx="2">
                  <c:v>74.037556558999995</c:v>
                </c:pt>
                <c:pt idx="3">
                  <c:v>88.114010014000002</c:v>
                </c:pt>
                <c:pt idx="4">
                  <c:v>90.494477486999997</c:v>
                </c:pt>
                <c:pt idx="5">
                  <c:v>85.393617887000005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36-4BD4-BE4C-A91FB54469BA}"/>
            </c:ext>
          </c:extLst>
        </c:ser>
        <c:ser>
          <c:idx val="7"/>
          <c:order val="3"/>
          <c:tx>
            <c:strRef>
              <c:f>Data_Sheet!$R$2</c:f>
              <c:strCache>
                <c:ptCount val="1"/>
                <c:pt idx="0">
                  <c:v>First Nations Off-Reserve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</c:spPr>
          <c:invertIfNegative val="0"/>
          <c:val>
            <c:numRef>
              <c:f>Data_Sheet!$R$4:$R$9</c:f>
              <c:numCache>
                <c:formatCode>General</c:formatCode>
                <c:ptCount val="6"/>
                <c:pt idx="0">
                  <c:v>0</c:v>
                </c:pt>
                <c:pt idx="1">
                  <c:v>49.443824186999997</c:v>
                </c:pt>
                <c:pt idx="2">
                  <c:v>0</c:v>
                </c:pt>
                <c:pt idx="3">
                  <c:v>0</c:v>
                </c:pt>
                <c:pt idx="4">
                  <c:v>59.700425500000001</c:v>
                </c:pt>
                <c:pt idx="5">
                  <c:v>48.803765536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36-4BD4-BE4C-A91FB54469BA}"/>
            </c:ext>
          </c:extLst>
        </c:ser>
        <c:ser>
          <c:idx val="0"/>
          <c:order val="4"/>
          <c:tx>
            <c:strRef>
              <c:f>Data_Sheet!$S$2</c:f>
              <c:strCache>
                <c:ptCount val="1"/>
                <c:pt idx="0">
                  <c:v>All First Nations</c:v>
                </c:pt>
              </c:strCache>
            </c:strRef>
          </c:tx>
          <c:spPr>
            <a:pattFill prst="dkUpDiag">
              <a:fgClr>
                <a:schemeClr val="accent1"/>
              </a:fgClr>
              <a:bgClr>
                <a:schemeClr val="bg1"/>
              </a:bgClr>
            </a:pattFill>
            <a:ln>
              <a:solidFill>
                <a:schemeClr val="accent1"/>
              </a:solidFill>
            </a:ln>
          </c:spPr>
          <c:invertIfNegative val="0"/>
          <c:cat>
            <c:multiLvlStrRef>
              <c:f>Data_Sheet!$A$4:$B$9</c:f>
              <c:multiLvlStrCache>
                <c:ptCount val="6"/>
                <c:lvl>
                  <c:pt idx="0">
                    <c:v>Southern Health-Santé Sud (4)</c:v>
                  </c:pt>
                  <c:pt idx="1">
                    <c:v>Winnipeg RHA (5)</c:v>
                  </c:pt>
                  <c:pt idx="2">
                    <c:v>Prairie Mountain Health  (5)</c:v>
                  </c:pt>
                  <c:pt idx="3">
                    <c:v>Interlake-Eastern RHA (5)</c:v>
                  </c:pt>
                  <c:pt idx="4">
                    <c:v>Northern Health Region (5)</c:v>
                  </c:pt>
                  <c:pt idx="5">
                    <c:v>Manitoba (5,6)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Data_Sheet!$S$4:$S$9</c:f>
              <c:numCache>
                <c:formatCode>General</c:formatCode>
                <c:ptCount val="6"/>
                <c:pt idx="0">
                  <c:v>50.448410412999998</c:v>
                </c:pt>
                <c:pt idx="1">
                  <c:v>49.443824186999997</c:v>
                </c:pt>
                <c:pt idx="2">
                  <c:v>62.362997024000002</c:v>
                </c:pt>
                <c:pt idx="3">
                  <c:v>82.038852575999996</c:v>
                </c:pt>
                <c:pt idx="4">
                  <c:v>86.405593651000004</c:v>
                </c:pt>
                <c:pt idx="5">
                  <c:v>72.798365958999995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71-4865-886A-43BAE3183E02}"/>
            </c:ext>
          </c:extLst>
        </c:ser>
        <c:ser>
          <c:idx val="1"/>
          <c:order val="5"/>
          <c:tx>
            <c:strRef>
              <c:f>Data_Sheet!$T$2</c:f>
              <c:strCache>
                <c:ptCount val="1"/>
                <c:pt idx="0">
                  <c:v>All Other Manitobans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invertIfNegative val="0"/>
          <c:cat>
            <c:multiLvlStrRef>
              <c:f>Data_Sheet!$A$4:$B$9</c:f>
              <c:multiLvlStrCache>
                <c:ptCount val="6"/>
                <c:lvl>
                  <c:pt idx="0">
                    <c:v>Southern Health-Santé Sud (4)</c:v>
                  </c:pt>
                  <c:pt idx="1">
                    <c:v>Winnipeg RHA (5)</c:v>
                  </c:pt>
                  <c:pt idx="2">
                    <c:v>Prairie Mountain Health  (5)</c:v>
                  </c:pt>
                  <c:pt idx="3">
                    <c:v>Interlake-Eastern RHA (5)</c:v>
                  </c:pt>
                  <c:pt idx="4">
                    <c:v>Northern Health Region (5)</c:v>
                  </c:pt>
                  <c:pt idx="5">
                    <c:v>Manitoba (5,6)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Data_Sheet!$T$4:$T$9</c:f>
              <c:numCache>
                <c:formatCode>General</c:formatCode>
                <c:ptCount val="6"/>
                <c:pt idx="0">
                  <c:v>24.849252215</c:v>
                </c:pt>
                <c:pt idx="1">
                  <c:v>13.017857202</c:v>
                </c:pt>
                <c:pt idx="2">
                  <c:v>16.533016710999998</c:v>
                </c:pt>
                <c:pt idx="3">
                  <c:v>16.463433042999998</c:v>
                </c:pt>
                <c:pt idx="4">
                  <c:v>28.844519283</c:v>
                </c:pt>
                <c:pt idx="5">
                  <c:v>16.910417232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71-4865-886A-43BAE3183E02}"/>
            </c:ext>
          </c:extLst>
        </c:ser>
        <c:ser>
          <c:idx val="3"/>
          <c:order val="6"/>
          <c:tx>
            <c:strRef>
              <c:f>Data_Sheet!$W$2</c:f>
              <c:strCache>
                <c:ptCount val="1"/>
                <c:pt idx="0">
                  <c:v>All First Nations Avg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trendline>
            <c:name>All First Nations Avg</c:nam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Data_Sheet!$A$4:$B$9</c:f>
              <c:multiLvlStrCache>
                <c:ptCount val="6"/>
                <c:lvl>
                  <c:pt idx="0">
                    <c:v>Southern Health-Santé Sud (4)</c:v>
                  </c:pt>
                  <c:pt idx="1">
                    <c:v>Winnipeg RHA (5)</c:v>
                  </c:pt>
                  <c:pt idx="2">
                    <c:v>Prairie Mountain Health  (5)</c:v>
                  </c:pt>
                  <c:pt idx="3">
                    <c:v>Interlake-Eastern RHA (5)</c:v>
                  </c:pt>
                  <c:pt idx="4">
                    <c:v>Northern Health Region (5)</c:v>
                  </c:pt>
                  <c:pt idx="5">
                    <c:v>Manitoba (5,6)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Data_Sheet!$W$4:$W$9</c:f>
              <c:numCache>
                <c:formatCode>General</c:formatCode>
                <c:ptCount val="6"/>
                <c:pt idx="0">
                  <c:v>72.798365958999995</c:v>
                </c:pt>
                <c:pt idx="1">
                  <c:v>72.798365958999995</c:v>
                </c:pt>
                <c:pt idx="2">
                  <c:v>72.798365958999995</c:v>
                </c:pt>
                <c:pt idx="3">
                  <c:v>72.798365958999995</c:v>
                </c:pt>
                <c:pt idx="4">
                  <c:v>72.798365958999995</c:v>
                </c:pt>
                <c:pt idx="5">
                  <c:v>72.798365958999995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71-4865-886A-43BAE3183E02}"/>
            </c:ext>
          </c:extLst>
        </c:ser>
        <c:ser>
          <c:idx val="4"/>
          <c:order val="7"/>
          <c:tx>
            <c:strRef>
              <c:f>Data_Sheet!$X$2</c:f>
              <c:strCache>
                <c:ptCount val="1"/>
                <c:pt idx="0">
                  <c:v>All Other Manitobans Avg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trendline>
            <c:name>All Other Manitobans Avg</c:name>
            <c:spPr>
              <a:ln w="25400">
                <a:solidFill>
                  <a:schemeClr val="accent5"/>
                </a:solidFill>
                <a:prstDash val="sysDot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Data_Sheet!$A$4:$B$9</c:f>
              <c:multiLvlStrCache>
                <c:ptCount val="6"/>
                <c:lvl>
                  <c:pt idx="0">
                    <c:v>Southern Health-Santé Sud (4)</c:v>
                  </c:pt>
                  <c:pt idx="1">
                    <c:v>Winnipeg RHA (5)</c:v>
                  </c:pt>
                  <c:pt idx="2">
                    <c:v>Prairie Mountain Health  (5)</c:v>
                  </c:pt>
                  <c:pt idx="3">
                    <c:v>Interlake-Eastern RHA (5)</c:v>
                  </c:pt>
                  <c:pt idx="4">
                    <c:v>Northern Health Region (5)</c:v>
                  </c:pt>
                  <c:pt idx="5">
                    <c:v>Manitoba (5,6)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Data_Sheet!$X$4:$X$9</c:f>
              <c:numCache>
                <c:formatCode>General</c:formatCode>
                <c:ptCount val="6"/>
                <c:pt idx="0">
                  <c:v>16.910417232</c:v>
                </c:pt>
                <c:pt idx="1">
                  <c:v>16.910417232</c:v>
                </c:pt>
                <c:pt idx="2">
                  <c:v>16.910417232</c:v>
                </c:pt>
                <c:pt idx="3">
                  <c:v>16.910417232</c:v>
                </c:pt>
                <c:pt idx="4">
                  <c:v>16.910417232</c:v>
                </c:pt>
                <c:pt idx="5">
                  <c:v>16.910417232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71-4865-886A-43BAE3183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8258048"/>
        <c:axId val="88259584"/>
      </c:barChart>
      <c:catAx>
        <c:axId val="88258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800" b="0"/>
            </a:pPr>
            <a:endParaRPr lang="en-US"/>
          </a:p>
        </c:txPr>
        <c:crossAx val="88259584"/>
        <c:crosses val="autoZero"/>
        <c:auto val="1"/>
        <c:lblAlgn val="ctr"/>
        <c:lblOffset val="100"/>
        <c:noMultiLvlLbl val="0"/>
      </c:catAx>
      <c:valAx>
        <c:axId val="88259584"/>
        <c:scaling>
          <c:orientation val="minMax"/>
          <c:max val="14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88258048"/>
        <c:crosses val="max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1.8544150226495936E-4"/>
          <c:y val="8.4543394217694925E-2"/>
          <c:w val="0.99400221449665138"/>
          <c:h val="6.0700117110449488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71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>
          <a:solidFill>
            <a:schemeClr val="tx1"/>
          </a:solidFill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75385235763705"/>
          <c:y val="0.10881954550989893"/>
          <c:w val="0.76505256090615248"/>
          <c:h val="0.74264416947881506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Data_Sheet!$K$12</c:f>
              <c:strCache>
                <c:ptCount val="1"/>
                <c:pt idx="0">
                  <c:v>First Nations On-Reserve Avg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multiLvlStrRef>
              <c:f>Data_Sheet!$A$14:$B$19</c:f>
              <c:multiLvlStrCache>
                <c:ptCount val="6"/>
                <c:lvl>
                  <c:pt idx="0">
                    <c:v>Treaty 10 </c:v>
                  </c:pt>
                  <c:pt idx="1">
                    <c:v>Treaty 5 (†)</c:v>
                  </c:pt>
                  <c:pt idx="2">
                    <c:v>Treaty 4 (†)</c:v>
                  </c:pt>
                  <c:pt idx="3">
                    <c:v>Treaty 1 (†)</c:v>
                  </c:pt>
                  <c:pt idx="4">
                    <c:v>Treaty 2 (†)</c:v>
                  </c:pt>
                  <c:pt idx="5">
                    <c:v>Dakota Nation (†)</c:v>
                  </c:pt>
                </c:lvl>
                <c:lvl>
                  <c:pt idx="0">
                    <c:v>Treaty Area</c:v>
                  </c:pt>
                </c:lvl>
              </c:multiLvlStrCache>
            </c:multiLvlStrRef>
          </c:cat>
          <c:val>
            <c:numRef>
              <c:f>Data_Sheet!$K$14:$K$19</c:f>
              <c:numCache>
                <c:formatCode>General</c:formatCode>
                <c:ptCount val="6"/>
                <c:pt idx="0">
                  <c:v>12.134312689</c:v>
                </c:pt>
                <c:pt idx="1">
                  <c:v>12.134312689</c:v>
                </c:pt>
                <c:pt idx="2">
                  <c:v>12.134312689</c:v>
                </c:pt>
                <c:pt idx="3">
                  <c:v>12.134312689</c:v>
                </c:pt>
                <c:pt idx="4">
                  <c:v>12.134312689</c:v>
                </c:pt>
                <c:pt idx="5">
                  <c:v>12.134312689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04-4A94-842B-7C8B357362C9}"/>
            </c:ext>
          </c:extLst>
        </c:ser>
        <c:ser>
          <c:idx val="0"/>
          <c:order val="1"/>
          <c:tx>
            <c:strRef>
              <c:f>Data_Sheet!$J$12</c:f>
              <c:strCache>
                <c:ptCount val="1"/>
                <c:pt idx="0">
                  <c:v>First Nations    On-Reserve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multiLvlStrRef>
              <c:f>Data_Sheet!$A$14:$B$19</c:f>
              <c:multiLvlStrCache>
                <c:ptCount val="6"/>
                <c:lvl>
                  <c:pt idx="0">
                    <c:v>Treaty 10 </c:v>
                  </c:pt>
                  <c:pt idx="1">
                    <c:v>Treaty 5 (†)</c:v>
                  </c:pt>
                  <c:pt idx="2">
                    <c:v>Treaty 4 (†)</c:v>
                  </c:pt>
                  <c:pt idx="3">
                    <c:v>Treaty 1 (†)</c:v>
                  </c:pt>
                  <c:pt idx="4">
                    <c:v>Treaty 2 (†)</c:v>
                  </c:pt>
                  <c:pt idx="5">
                    <c:v>Dakota Nation (†)</c:v>
                  </c:pt>
                </c:lvl>
                <c:lvl>
                  <c:pt idx="0">
                    <c:v>Treaty Area</c:v>
                  </c:pt>
                </c:lvl>
              </c:multiLvlStrCache>
            </c:multiLvlStrRef>
          </c:cat>
          <c:val>
            <c:numRef>
              <c:f>Data_Sheet!$J$14:$J$19</c:f>
              <c:numCache>
                <c:formatCode>General</c:formatCode>
                <c:ptCount val="6"/>
                <c:pt idx="0">
                  <c:v>1.8242497624</c:v>
                </c:pt>
                <c:pt idx="1">
                  <c:v>11.475378329</c:v>
                </c:pt>
                <c:pt idx="2">
                  <c:v>12.607663541000001</c:v>
                </c:pt>
                <c:pt idx="3">
                  <c:v>14.330808101000001</c:v>
                </c:pt>
                <c:pt idx="4">
                  <c:v>13.472510433</c:v>
                </c:pt>
                <c:pt idx="5">
                  <c:v>11.908761275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FD-41D2-A89D-0A57B0BB46AE}"/>
            </c:ext>
          </c:extLst>
        </c:ser>
        <c:ser>
          <c:idx val="1"/>
          <c:order val="2"/>
          <c:tx>
            <c:strRef>
              <c:f>Data_Sheet!$N$12</c:f>
              <c:strCache>
                <c:ptCount val="1"/>
              </c:strCache>
            </c:strRef>
          </c:tx>
          <c:invertIfNegative val="0"/>
          <c:cat>
            <c:multiLvlStrRef>
              <c:f>Data_Sheet!$A$14:$B$19</c:f>
              <c:multiLvlStrCache>
                <c:ptCount val="6"/>
                <c:lvl>
                  <c:pt idx="0">
                    <c:v>Treaty 10 </c:v>
                  </c:pt>
                  <c:pt idx="1">
                    <c:v>Treaty 5 (†)</c:v>
                  </c:pt>
                  <c:pt idx="2">
                    <c:v>Treaty 4 (†)</c:v>
                  </c:pt>
                  <c:pt idx="3">
                    <c:v>Treaty 1 (†)</c:v>
                  </c:pt>
                  <c:pt idx="4">
                    <c:v>Treaty 2 (†)</c:v>
                  </c:pt>
                  <c:pt idx="5">
                    <c:v>Dakota Nation (†)</c:v>
                  </c:pt>
                </c:lvl>
                <c:lvl>
                  <c:pt idx="0">
                    <c:v>Treaty Area</c:v>
                  </c:pt>
                </c:lvl>
              </c:multiLvlStrCache>
            </c:multiLvlStrRef>
          </c:cat>
          <c:val>
            <c:numRef>
              <c:f>Data_Sheet!$N$14:$N$19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A385-4BD4-BCE1-71E4FFFE22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8258048"/>
        <c:axId val="88259584"/>
      </c:barChart>
      <c:catAx>
        <c:axId val="88258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88259584"/>
        <c:crosses val="autoZero"/>
        <c:auto val="1"/>
        <c:lblAlgn val="ctr"/>
        <c:lblOffset val="100"/>
        <c:noMultiLvlLbl val="0"/>
      </c:catAx>
      <c:valAx>
        <c:axId val="88259584"/>
        <c:scaling>
          <c:orientation val="minMax"/>
          <c:max val="20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88258048"/>
        <c:crosses val="max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482969427820119"/>
          <c:y val="0.10883564554430696"/>
          <c:w val="0.73002818702496308"/>
          <c:h val="0.61574814388925825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Data_Sheet!$N$47</c:f>
              <c:strCache>
                <c:ptCount val="1"/>
                <c:pt idx="0">
                  <c:v>Dummy variable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trendline>
            <c:name>MB: First Nations On-Reserve</c:name>
            <c:spPr>
              <a:ln w="25400">
                <a:solidFill>
                  <a:schemeClr val="accent2"/>
                </a:solidFill>
                <a:prstDash val="dash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Data_Sheet!$A$49:$B$55</c:f>
              <c:multiLvlStrCache>
                <c:ptCount val="7"/>
                <c:lvl>
                  <c:pt idx="0">
                    <c:v>Urban Off-Reserve (1,2)</c:v>
                  </c:pt>
                  <c:pt idx="1">
                    <c:v>Rural On-Reserve (3,4)</c:v>
                  </c:pt>
                  <c:pt idx="2">
                    <c:v>Rural Off-Reserve </c:v>
                  </c:pt>
                  <c:pt idx="3">
                    <c:v>Lowest Urban </c:v>
                  </c:pt>
                  <c:pt idx="4">
                    <c:v>Highest Urban </c:v>
                  </c:pt>
                  <c:pt idx="5">
                    <c:v>Lowest Rural </c:v>
                  </c:pt>
                  <c:pt idx="6">
                    <c:v>Highest Rural </c:v>
                  </c:pt>
                </c:lvl>
                <c:lvl>
                  <c:pt idx="0">
                    <c:v>First Nations</c:v>
                  </c:pt>
                  <c:pt idx="3">
                    <c:v>All Other Manitobans</c:v>
                  </c:pt>
                </c:lvl>
              </c:multiLvlStrCache>
            </c:multiLvlStrRef>
          </c:cat>
          <c:val>
            <c:numRef>
              <c:f>Data_Sheet!$N$49:$N$55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4946-454C-86E9-B2B868D14E63}"/>
            </c:ext>
          </c:extLst>
        </c:ser>
        <c:ser>
          <c:idx val="0"/>
          <c:order val="1"/>
          <c:tx>
            <c:strRef>
              <c:f>Data_Sheet!$M$47</c:f>
              <c:strCache>
                <c:ptCount val="1"/>
                <c:pt idx="0">
                  <c:v>Rate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pattFill prst="dkUpDiag">
                <a:fgClr>
                  <a:schemeClr val="accent1"/>
                </a:fgClr>
                <a:bgClr>
                  <a:schemeClr val="bg1"/>
                </a:bgClr>
              </a:patt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946-454C-86E9-B2B868D14E63}"/>
              </c:ext>
            </c:extLst>
          </c:dPt>
          <c:dPt>
            <c:idx val="1"/>
            <c:invertIfNegative val="0"/>
            <c:bubble3D val="0"/>
            <c:spPr>
              <a:pattFill prst="dkUpDiag">
                <a:fgClr>
                  <a:schemeClr val="accent1"/>
                </a:fgClr>
                <a:bgClr>
                  <a:schemeClr val="bg1"/>
                </a:bgClr>
              </a:patt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4946-454C-86E9-B2B868D14E63}"/>
              </c:ext>
            </c:extLst>
          </c:dPt>
          <c:dPt>
            <c:idx val="2"/>
            <c:invertIfNegative val="0"/>
            <c:bubble3D val="0"/>
            <c:spPr>
              <a:pattFill prst="dkUpDiag">
                <a:fgClr>
                  <a:schemeClr val="accent1"/>
                </a:fgClr>
                <a:bgClr>
                  <a:schemeClr val="bg1"/>
                </a:bgClr>
              </a:patt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946-454C-86E9-B2B868D14E6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946-454C-86E9-B2B868D14E63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4946-454C-86E9-B2B868D14E6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946-454C-86E9-B2B868D14E63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946-454C-86E9-B2B868D14E63}"/>
              </c:ext>
            </c:extLst>
          </c:dPt>
          <c:cat>
            <c:multiLvlStrRef>
              <c:f>Data_Sheet!$A$49:$B$55</c:f>
              <c:multiLvlStrCache>
                <c:ptCount val="7"/>
                <c:lvl>
                  <c:pt idx="0">
                    <c:v>Urban Off-Reserve (1,2)</c:v>
                  </c:pt>
                  <c:pt idx="1">
                    <c:v>Rural On-Reserve (3,4)</c:v>
                  </c:pt>
                  <c:pt idx="2">
                    <c:v>Rural Off-Reserve </c:v>
                  </c:pt>
                  <c:pt idx="3">
                    <c:v>Lowest Urban </c:v>
                  </c:pt>
                  <c:pt idx="4">
                    <c:v>Highest Urban </c:v>
                  </c:pt>
                  <c:pt idx="5">
                    <c:v>Lowest Rural </c:v>
                  </c:pt>
                  <c:pt idx="6">
                    <c:v>Highest Rural </c:v>
                  </c:pt>
                </c:lvl>
                <c:lvl>
                  <c:pt idx="0">
                    <c:v>First Nations</c:v>
                  </c:pt>
                  <c:pt idx="3">
                    <c:v>All Other Manitobans</c:v>
                  </c:pt>
                </c:lvl>
              </c:multiLvlStrCache>
            </c:multiLvlStrRef>
          </c:cat>
          <c:val>
            <c:numRef>
              <c:f>Data_Sheet!$M$49:$M$55</c:f>
              <c:numCache>
                <c:formatCode>General</c:formatCode>
                <c:ptCount val="7"/>
                <c:pt idx="0">
                  <c:v>55.022524846000003</c:v>
                </c:pt>
                <c:pt idx="1">
                  <c:v>91.292323390000007</c:v>
                </c:pt>
                <c:pt idx="2">
                  <c:v>42.485696482000002</c:v>
                </c:pt>
                <c:pt idx="3">
                  <c:v>20.906443665000001</c:v>
                </c:pt>
                <c:pt idx="4">
                  <c:v>16.173727397</c:v>
                </c:pt>
                <c:pt idx="5">
                  <c:v>21.063274074999999</c:v>
                </c:pt>
                <c:pt idx="6">
                  <c:v>26.199417261000001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46-454C-86E9-B2B868D14E63}"/>
            </c:ext>
          </c:extLst>
        </c:ser>
        <c:ser>
          <c:idx val="5"/>
          <c:order val="2"/>
          <c:tx>
            <c:strRef>
              <c:f>Data_Sheet!$O$47</c:f>
              <c:strCache>
                <c:ptCount val="1"/>
                <c:pt idx="0">
                  <c:v>Dummy variable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trendline>
            <c:name>MB First Nation</c:name>
            <c:spPr>
              <a:ln w="15875">
                <a:solidFill>
                  <a:schemeClr val="tx1"/>
                </a:solidFill>
                <a:prstDash val="lgDashDot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Data_Sheet!$A$49:$B$55</c:f>
              <c:multiLvlStrCache>
                <c:ptCount val="7"/>
                <c:lvl>
                  <c:pt idx="0">
                    <c:v>Urban Off-Reserve (1,2)</c:v>
                  </c:pt>
                  <c:pt idx="1">
                    <c:v>Rural On-Reserve (3,4)</c:v>
                  </c:pt>
                  <c:pt idx="2">
                    <c:v>Rural Off-Reserve </c:v>
                  </c:pt>
                  <c:pt idx="3">
                    <c:v>Lowest Urban </c:v>
                  </c:pt>
                  <c:pt idx="4">
                    <c:v>Highest Urban </c:v>
                  </c:pt>
                  <c:pt idx="5">
                    <c:v>Lowest Rural </c:v>
                  </c:pt>
                  <c:pt idx="6">
                    <c:v>Highest Rural </c:v>
                  </c:pt>
                </c:lvl>
                <c:lvl>
                  <c:pt idx="0">
                    <c:v>First Nations</c:v>
                  </c:pt>
                  <c:pt idx="3">
                    <c:v>All Other Manitobans</c:v>
                  </c:pt>
                </c:lvl>
              </c:multiLvlStrCache>
            </c:multiLvlStrRef>
          </c:cat>
          <c:val>
            <c:numRef>
              <c:f>Data_Sheet!$O$49:$O$55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4946-454C-86E9-B2B868D14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50"/>
        <c:axId val="88258048"/>
        <c:axId val="88259584"/>
      </c:barChart>
      <c:catAx>
        <c:axId val="88258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800" b="0"/>
            </a:pPr>
            <a:endParaRPr lang="en-US"/>
          </a:p>
        </c:txPr>
        <c:crossAx val="88259584"/>
        <c:crosses val="autoZero"/>
        <c:auto val="1"/>
        <c:lblAlgn val="ctr"/>
        <c:lblOffset val="100"/>
        <c:noMultiLvlLbl val="0"/>
      </c:catAx>
      <c:valAx>
        <c:axId val="88259584"/>
        <c:scaling>
          <c:orientation val="minMax"/>
          <c:max val="14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88258048"/>
        <c:crosses val="max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3" tint="-9.9978637043366805E-2"/>
  </sheetPr>
  <sheetViews>
    <sheetView zoomScale="120" workbookViewId="0"/>
  </sheetViews>
  <pageMargins left="0.70866141732283461" right="0.70866141732283461" top="3.1496062992125986" bottom="3.1496062992125986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3" tint="-9.9978637043366805E-2"/>
  </sheetPr>
  <sheetViews>
    <sheetView zoomScale="110" workbookViewId="0"/>
  </sheetViews>
  <pageMargins left="1" right="1" top="1" bottom="5.5" header="0.31496062992126" footer="0.31496062992126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>
    <tabColor theme="3" tint="-9.9978637043366805E-2"/>
  </sheetPr>
  <sheetViews>
    <sheetView zoomScale="130" workbookViewId="0"/>
  </sheetViews>
  <pageMargins left="0.70866141732283461" right="0.70866141732283461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65875" cy="419893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0.07913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550269" cy="35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900" b="1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Figure 11.3:</a:t>
          </a:r>
          <a:r>
            <a:rPr lang="en-CA" sz="9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 Child Mortality by Health Region</a:t>
          </a:r>
          <a:br>
            <a:rPr lang="en-CA" sz="9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</a:br>
          <a:r>
            <a:rPr lang="en-CA" sz="900" b="0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Age- and sex-adjusted rate, per 100,000 children age 1-19 years, 2012-2016</a:t>
          </a:r>
          <a:endParaRPr lang="en-US" sz="900" b="0">
            <a:effectLst/>
            <a:latin typeface="Segoe UI" pitchFamily="34" charset="0"/>
            <a:ea typeface="Segoe UI" pitchFamily="34" charset="0"/>
            <a:cs typeface="Segoe UI" pitchFamily="34" charset="0"/>
          </a:endParaRPr>
        </a:p>
      </cdr:txBody>
    </cdr:sp>
  </cdr:relSizeAnchor>
  <cdr:relSizeAnchor xmlns:cdr="http://schemas.openxmlformats.org/drawingml/2006/chartDrawing">
    <cdr:from>
      <cdr:x>0.00126</cdr:x>
      <cdr:y>0.82163</cdr:y>
    </cdr:from>
    <cdr:to>
      <cdr:x>1</cdr:x>
      <cdr:y>1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1" y="3436937"/>
          <a:ext cx="6357854" cy="7461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u="none" strike="noStrike" baseline="0">
              <a:latin typeface="Segoe UI" panose="020B0502040204020203" pitchFamily="34" charset="0"/>
              <a:cs typeface="Segoe UI" panose="020B0502040204020203" pitchFamily="34" charset="0"/>
            </a:rPr>
            <a:t>Statistically significant differences (p&lt;0.01):</a:t>
          </a:r>
        </a:p>
        <a:p xmlns:a="http://schemas.openxmlformats.org/drawingml/2006/main">
          <a:pPr algn="l" rtl="0">
            <a:defRPr sz="1000"/>
          </a:pPr>
          <a:r>
            <a:rPr lang="en-US" sz="700" b="0" i="0" u="none" strike="noStrike" baseline="0">
              <a:latin typeface="Segoe UI" panose="020B0502040204020203" pitchFamily="34" charset="0"/>
              <a:cs typeface="Segoe UI" panose="020B0502040204020203" pitchFamily="34" charset="0"/>
            </a:rPr>
            <a:t>4 - All Other Manitobans: RHA compared to the Manitoba average</a:t>
          </a:r>
        </a:p>
        <a:p xmlns:a="http://schemas.openxmlformats.org/drawingml/2006/main">
          <a:pPr algn="l" rtl="0">
            <a:defRPr sz="1000"/>
          </a:pPr>
          <a:r>
            <a:rPr lang="en-US" sz="700" b="0" i="0" u="none" strike="noStrike" baseline="0">
              <a:latin typeface="Segoe UI" panose="020B0502040204020203" pitchFamily="34" charset="0"/>
              <a:cs typeface="Segoe UI" panose="020B0502040204020203" pitchFamily="34" charset="0"/>
            </a:rPr>
            <a:t>5 - All First Nations compared to All Other Manitobans</a:t>
          </a:r>
        </a:p>
        <a:p xmlns:a="http://schemas.openxmlformats.org/drawingml/2006/main">
          <a:pPr algn="l" rtl="0">
            <a:defRPr sz="1000"/>
          </a:pPr>
          <a:r>
            <a:rPr lang="en-US" sz="700" b="0" i="0" u="none" strike="noStrike" baseline="0">
              <a:latin typeface="Segoe UI" panose="020B0502040204020203" pitchFamily="34" charset="0"/>
              <a:cs typeface="Segoe UI" panose="020B0502040204020203" pitchFamily="34" charset="0"/>
            </a:rPr>
            <a:t>6 - First Nations on-reserve compared to First Nations off-reserve</a:t>
          </a:r>
        </a:p>
        <a:p xmlns:a="http://schemas.openxmlformats.org/drawingml/2006/main">
          <a:pPr algn="l" rtl="0">
            <a:defRPr sz="1000"/>
          </a:pPr>
          <a:r>
            <a:rPr lang="en-US" sz="700" b="0" i="0" u="none" strike="noStrike" baseline="0">
              <a:latin typeface="Segoe UI" panose="020B0502040204020203" pitchFamily="34" charset="0"/>
              <a:cs typeface="Segoe UI" panose="020B0502040204020203" pitchFamily="34" charset="0"/>
            </a:rPr>
            <a:t>s - Data suppressed due to small numbers</a:t>
          </a:r>
        </a:p>
        <a:p xmlns:a="http://schemas.openxmlformats.org/drawingml/2006/main">
          <a:pPr algn="l" rtl="0">
            <a:defRPr sz="1000"/>
          </a:pPr>
          <a:r>
            <a:rPr lang="en-US" sz="700" b="0" i="0" u="none" strike="noStrike" baseline="0">
              <a:latin typeface="Segoe UI" panose="020B0502040204020203" pitchFamily="34" charset="0"/>
              <a:cs typeface="Segoe UI" panose="020B0502040204020203" pitchFamily="34" charset="0"/>
            </a:rPr>
            <a:t>Avg - Manitoba average</a:t>
          </a:r>
        </a:p>
      </cdr:txBody>
    </cdr:sp>
  </cdr:relSizeAnchor>
  <cdr:relSizeAnchor xmlns:cdr="http://schemas.openxmlformats.org/drawingml/2006/chartDrawing">
    <cdr:from>
      <cdr:x>0.29792</cdr:x>
      <cdr:y>0.17587</cdr:y>
    </cdr:from>
    <cdr:to>
      <cdr:x>0.31501</cdr:x>
      <cdr:y>0.19194</cdr:y>
    </cdr:to>
    <cdr:sp macro="" textlink="Data_Sheet!$L$4">
      <cdr:nvSpPr>
        <cdr:cNvPr id="7" name="TextBox 1"/>
        <cdr:cNvSpPr txBox="1"/>
      </cdr:nvSpPr>
      <cdr:spPr>
        <a:xfrm xmlns:a="http://schemas.openxmlformats.org/drawingml/2006/main">
          <a:off x="1955840" y="783470"/>
          <a:ext cx="112195" cy="71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E51DD98-B282-4C3D-8D34-800172EA8F34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0.29847</cdr:x>
      <cdr:y>0.18797</cdr:y>
    </cdr:from>
    <cdr:to>
      <cdr:x>0.31556</cdr:x>
      <cdr:y>0.20404</cdr:y>
    </cdr:to>
    <cdr:sp macro="" textlink="Data_Sheet!$M$4">
      <cdr:nvSpPr>
        <cdr:cNvPr id="8" name="TextBox 1"/>
        <cdr:cNvSpPr txBox="1"/>
      </cdr:nvSpPr>
      <cdr:spPr>
        <a:xfrm xmlns:a="http://schemas.openxmlformats.org/drawingml/2006/main">
          <a:off x="1959451" y="837373"/>
          <a:ext cx="112195" cy="71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5F16DD46-81F9-4483-A92D-4C12B9D9E481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s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0.29847</cdr:x>
      <cdr:y>0.20087</cdr:y>
    </cdr:from>
    <cdr:to>
      <cdr:x>0.31556</cdr:x>
      <cdr:y>0.21695</cdr:y>
    </cdr:to>
    <cdr:sp macro="" textlink="Data_Sheet!$N$4">
      <cdr:nvSpPr>
        <cdr:cNvPr id="9" name="TextBox 1"/>
        <cdr:cNvSpPr txBox="1"/>
      </cdr:nvSpPr>
      <cdr:spPr>
        <a:xfrm xmlns:a="http://schemas.openxmlformats.org/drawingml/2006/main">
          <a:off x="1959451" y="894839"/>
          <a:ext cx="112195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FB08008C-6145-4561-9507-838BAE6494FA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0.29847</cdr:x>
      <cdr:y>0.21297</cdr:y>
    </cdr:from>
    <cdr:to>
      <cdr:x>0.31556</cdr:x>
      <cdr:y>0.22905</cdr:y>
    </cdr:to>
    <cdr:sp macro="" textlink="Data_Sheet!$O$4">
      <cdr:nvSpPr>
        <cdr:cNvPr id="10" name="TextBox 1"/>
        <cdr:cNvSpPr txBox="1"/>
      </cdr:nvSpPr>
      <cdr:spPr>
        <a:xfrm xmlns:a="http://schemas.openxmlformats.org/drawingml/2006/main">
          <a:off x="1959451" y="948742"/>
          <a:ext cx="112195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5102B762-D787-4184-8390-754AFB12837C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0.29737</cdr:x>
      <cdr:y>0.28879</cdr:y>
    </cdr:from>
    <cdr:to>
      <cdr:x>0.31447</cdr:x>
      <cdr:y>0.30487</cdr:y>
    </cdr:to>
    <cdr:sp macro="" textlink="Data_Sheet!$M$5">
      <cdr:nvSpPr>
        <cdr:cNvPr id="11" name="TextBox 1"/>
        <cdr:cNvSpPr txBox="1"/>
      </cdr:nvSpPr>
      <cdr:spPr>
        <a:xfrm xmlns:a="http://schemas.openxmlformats.org/drawingml/2006/main">
          <a:off x="1952230" y="1286503"/>
          <a:ext cx="112260" cy="716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BB6539B-BD05-4F80-B090-35B89E3506AC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0.29737</cdr:x>
      <cdr:y>0.30538</cdr:y>
    </cdr:from>
    <cdr:to>
      <cdr:x>0.31447</cdr:x>
      <cdr:y>0.32146</cdr:y>
    </cdr:to>
    <cdr:sp macro="" textlink="Data_Sheet!$N$5">
      <cdr:nvSpPr>
        <cdr:cNvPr id="12" name="TextBox 1"/>
        <cdr:cNvSpPr txBox="1"/>
      </cdr:nvSpPr>
      <cdr:spPr>
        <a:xfrm xmlns:a="http://schemas.openxmlformats.org/drawingml/2006/main">
          <a:off x="1952230" y="1360397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1C04E88-AE10-4B50-81C8-EE56BB8D5A52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0.29737</cdr:x>
      <cdr:y>0.31703</cdr:y>
    </cdr:from>
    <cdr:to>
      <cdr:x>0.31447</cdr:x>
      <cdr:y>0.3331</cdr:y>
    </cdr:to>
    <cdr:sp macro="" textlink="Data_Sheet!$O$5">
      <cdr:nvSpPr>
        <cdr:cNvPr id="13" name="TextBox 1"/>
        <cdr:cNvSpPr txBox="1"/>
      </cdr:nvSpPr>
      <cdr:spPr>
        <a:xfrm xmlns:a="http://schemas.openxmlformats.org/drawingml/2006/main">
          <a:off x="1952230" y="1412305"/>
          <a:ext cx="112260" cy="71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1082C43-18FF-481C-94CE-6D74D578172B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0.29847</cdr:x>
      <cdr:y>0.37994</cdr:y>
    </cdr:from>
    <cdr:to>
      <cdr:x>0.31556</cdr:x>
      <cdr:y>0.39602</cdr:y>
    </cdr:to>
    <cdr:sp macro="" textlink="Data_Sheet!$L$6">
      <cdr:nvSpPr>
        <cdr:cNvPr id="14" name="TextBox 1"/>
        <cdr:cNvSpPr txBox="1"/>
      </cdr:nvSpPr>
      <cdr:spPr>
        <a:xfrm xmlns:a="http://schemas.openxmlformats.org/drawingml/2006/main">
          <a:off x="1959451" y="1692555"/>
          <a:ext cx="112195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8AE8EB2-8007-4A7C-AE78-81943BB68BFF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0.29902</cdr:x>
      <cdr:y>0.39411</cdr:y>
    </cdr:from>
    <cdr:to>
      <cdr:x>0.31611</cdr:x>
      <cdr:y>0.41018</cdr:y>
    </cdr:to>
    <cdr:sp macro="" textlink="Data_Sheet!$M$6">
      <cdr:nvSpPr>
        <cdr:cNvPr id="15" name="TextBox 1"/>
        <cdr:cNvSpPr txBox="1"/>
      </cdr:nvSpPr>
      <cdr:spPr>
        <a:xfrm xmlns:a="http://schemas.openxmlformats.org/drawingml/2006/main">
          <a:off x="1963062" y="1755669"/>
          <a:ext cx="112194" cy="71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46DEF58D-4CA2-4B86-A0AB-348A56035C45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s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0.29902</cdr:x>
      <cdr:y>0.40656</cdr:y>
    </cdr:from>
    <cdr:to>
      <cdr:x>0.31611</cdr:x>
      <cdr:y>0.42264</cdr:y>
    </cdr:to>
    <cdr:sp macro="" textlink="Data_Sheet!$N$6">
      <cdr:nvSpPr>
        <cdr:cNvPr id="16" name="TextBox 1"/>
        <cdr:cNvSpPr txBox="1"/>
      </cdr:nvSpPr>
      <cdr:spPr>
        <a:xfrm xmlns:a="http://schemas.openxmlformats.org/drawingml/2006/main">
          <a:off x="1963062" y="1811141"/>
          <a:ext cx="112194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F31E1B66-3621-459B-BDC8-B0FF33C14D21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0.29902</cdr:x>
      <cdr:y>0.41947</cdr:y>
    </cdr:from>
    <cdr:to>
      <cdr:x>0.31611</cdr:x>
      <cdr:y>0.43554</cdr:y>
    </cdr:to>
    <cdr:sp macro="" textlink="Data_Sheet!$O$6">
      <cdr:nvSpPr>
        <cdr:cNvPr id="17" name="TextBox 1"/>
        <cdr:cNvSpPr txBox="1"/>
      </cdr:nvSpPr>
      <cdr:spPr>
        <a:xfrm xmlns:a="http://schemas.openxmlformats.org/drawingml/2006/main">
          <a:off x="1963062" y="1868652"/>
          <a:ext cx="112194" cy="71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5283801-51A8-4FA8-84F9-81EF0B263035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0.29792</cdr:x>
      <cdr:y>0.4848</cdr:y>
    </cdr:from>
    <cdr:to>
      <cdr:x>0.31501</cdr:x>
      <cdr:y>0.50088</cdr:y>
    </cdr:to>
    <cdr:sp macro="" textlink="Data_Sheet!$L$7">
      <cdr:nvSpPr>
        <cdr:cNvPr id="18" name="TextBox 1"/>
        <cdr:cNvSpPr txBox="1"/>
      </cdr:nvSpPr>
      <cdr:spPr>
        <a:xfrm xmlns:a="http://schemas.openxmlformats.org/drawingml/2006/main">
          <a:off x="1955840" y="2159682"/>
          <a:ext cx="112195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49D038A5-514F-4D0D-87D7-929BFF91724C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0.29792</cdr:x>
      <cdr:y>0.49771</cdr:y>
    </cdr:from>
    <cdr:to>
      <cdr:x>0.31501</cdr:x>
      <cdr:y>0.51379</cdr:y>
    </cdr:to>
    <cdr:sp macro="" textlink="Data_Sheet!$M$7">
      <cdr:nvSpPr>
        <cdr:cNvPr id="19" name="TextBox 1"/>
        <cdr:cNvSpPr txBox="1"/>
      </cdr:nvSpPr>
      <cdr:spPr>
        <a:xfrm xmlns:a="http://schemas.openxmlformats.org/drawingml/2006/main">
          <a:off x="1955840" y="2217193"/>
          <a:ext cx="112195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126A8F-50FF-4B80-9FD4-FF7A5C292C0B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s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0.29737</cdr:x>
      <cdr:y>0.50981</cdr:y>
    </cdr:from>
    <cdr:to>
      <cdr:x>0.31447</cdr:x>
      <cdr:y>0.52588</cdr:y>
    </cdr:to>
    <cdr:sp macro="" textlink="Data_Sheet!$N$7">
      <cdr:nvSpPr>
        <cdr:cNvPr id="20" name="TextBox 1"/>
        <cdr:cNvSpPr txBox="1"/>
      </cdr:nvSpPr>
      <cdr:spPr>
        <a:xfrm xmlns:a="http://schemas.openxmlformats.org/drawingml/2006/main">
          <a:off x="1952230" y="2271096"/>
          <a:ext cx="112260" cy="71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041EC44-02A0-43C5-9634-0FF5B0CFBE5B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0.29792</cdr:x>
      <cdr:y>0.52271</cdr:y>
    </cdr:from>
    <cdr:to>
      <cdr:x>0.31501</cdr:x>
      <cdr:y>0.53879</cdr:y>
    </cdr:to>
    <cdr:sp macro="" textlink="Data_Sheet!$O$7">
      <cdr:nvSpPr>
        <cdr:cNvPr id="21" name="TextBox 1"/>
        <cdr:cNvSpPr txBox="1"/>
      </cdr:nvSpPr>
      <cdr:spPr>
        <a:xfrm xmlns:a="http://schemas.openxmlformats.org/drawingml/2006/main">
          <a:off x="1955840" y="2328562"/>
          <a:ext cx="112195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5C02398-C0F4-4A9A-8502-A6B2DDC2F092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0.29792</cdr:x>
      <cdr:y>0.5857</cdr:y>
    </cdr:from>
    <cdr:to>
      <cdr:x>0.31501</cdr:x>
      <cdr:y>0.60178</cdr:y>
    </cdr:to>
    <cdr:sp macro="" textlink="Data_Sheet!$L$8">
      <cdr:nvSpPr>
        <cdr:cNvPr id="22" name="TextBox 1"/>
        <cdr:cNvSpPr txBox="1"/>
      </cdr:nvSpPr>
      <cdr:spPr>
        <a:xfrm xmlns:a="http://schemas.openxmlformats.org/drawingml/2006/main">
          <a:off x="1955840" y="2609168"/>
          <a:ext cx="112195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85FF2EA-1A0A-4E90-8808-DFD6F63C98E4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0.29726</cdr:x>
      <cdr:y>0.60028</cdr:y>
    </cdr:from>
    <cdr:to>
      <cdr:x>0.31435</cdr:x>
      <cdr:y>0.61635</cdr:y>
    </cdr:to>
    <cdr:sp macro="" textlink="Data_Sheet!$M$8">
      <cdr:nvSpPr>
        <cdr:cNvPr id="23" name="TextBox 1"/>
        <cdr:cNvSpPr txBox="1"/>
      </cdr:nvSpPr>
      <cdr:spPr>
        <a:xfrm xmlns:a="http://schemas.openxmlformats.org/drawingml/2006/main">
          <a:off x="1951508" y="2674119"/>
          <a:ext cx="112194" cy="71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7B9E7865-58C7-460E-A6EC-E6D6918A627F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0.29858</cdr:x>
      <cdr:y>0.61194</cdr:y>
    </cdr:from>
    <cdr:to>
      <cdr:x>0.31567</cdr:x>
      <cdr:y>0.62801</cdr:y>
    </cdr:to>
    <cdr:sp macro="" textlink="Data_Sheet!$N$8">
      <cdr:nvSpPr>
        <cdr:cNvPr id="24" name="TextBox 1"/>
        <cdr:cNvSpPr txBox="1"/>
      </cdr:nvSpPr>
      <cdr:spPr>
        <a:xfrm xmlns:a="http://schemas.openxmlformats.org/drawingml/2006/main">
          <a:off x="1960173" y="2726061"/>
          <a:ext cx="112195" cy="71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7062746-3658-4CB3-84F6-F4028BD0B1AA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0.29858</cdr:x>
      <cdr:y>0.62651</cdr:y>
    </cdr:from>
    <cdr:to>
      <cdr:x>0.31567</cdr:x>
      <cdr:y>0.64259</cdr:y>
    </cdr:to>
    <cdr:sp macro="" textlink="Data_Sheet!$O$8">
      <cdr:nvSpPr>
        <cdr:cNvPr id="25" name="TextBox 1"/>
        <cdr:cNvSpPr txBox="1"/>
      </cdr:nvSpPr>
      <cdr:spPr>
        <a:xfrm xmlns:a="http://schemas.openxmlformats.org/drawingml/2006/main">
          <a:off x="1960173" y="2790967"/>
          <a:ext cx="112195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EB00CCC9-F4E6-40FC-95D8-A47F58E0389D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7568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0.10704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5831633" cy="4286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900" b="1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Figure X.X:</a:t>
          </a:r>
          <a:r>
            <a:rPr lang="en-CA" sz="9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 Indicator Rate/Prevalence/Incidence/Percent </a:t>
          </a:r>
          <a:r>
            <a:rPr lang="en-CA" sz="900" b="1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for On-Reserve </a:t>
          </a:r>
          <a:r>
            <a:rPr lang="en-CA" sz="9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First Nations by Treaty Area</a:t>
          </a:r>
          <a:br>
            <a:rPr lang="en-CA" sz="9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</a:br>
          <a:r>
            <a:rPr lang="en-CA" sz="800" b="0" baseline="0">
              <a:effectLst/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Age- and sex-adjusted, per X residents, time period</a:t>
          </a:r>
        </a:p>
      </cdr:txBody>
    </cdr:sp>
  </cdr:relSizeAnchor>
  <cdr:relSizeAnchor xmlns:cdr="http://schemas.openxmlformats.org/drawingml/2006/chartDrawing">
    <cdr:from>
      <cdr:x>0</cdr:x>
      <cdr:y>0.91991</cdr:y>
    </cdr:from>
    <cdr:to>
      <cdr:x>1</cdr:x>
      <cdr:y>1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3680114"/>
          <a:ext cx="5832662" cy="3203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CA" sz="700" b="0" i="0" u="none" strike="noStrike" baseline="0">
              <a:solidFill>
                <a:srgbClr val="000000"/>
              </a:solidFill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 – The difference between this area’s rate and the lowest/highest First Nations On-Reserve rate (Treaty Area X) was statistically significant (p&lt;0.01).</a:t>
          </a:r>
        </a:p>
        <a:p xmlns:a="http://schemas.openxmlformats.org/drawingml/2006/main">
          <a:pPr algn="l" rtl="0">
            <a:defRPr sz="1000"/>
          </a:pPr>
          <a:r>
            <a:rPr lang="en-CA" sz="700" b="0" i="0" u="none" strike="noStrike" baseline="0">
              <a:solidFill>
                <a:srgbClr val="000000"/>
              </a:solidFill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s  – Data suppressed due to small numbers</a:t>
          </a:r>
          <a:br>
            <a:rPr lang="en-CA" sz="700" b="0" i="0" u="none" strike="noStrike" baseline="0">
              <a:solidFill>
                <a:srgbClr val="000000"/>
              </a:solidFill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CA" sz="700" b="0" i="0" u="none" strike="noStrike" baseline="0">
            <a:solidFill>
              <a:srgbClr val="000000"/>
            </a:solidFill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0.2131</cdr:x>
      <cdr:y>0.15358</cdr:y>
    </cdr:from>
    <cdr:to>
      <cdr:x>0.2399</cdr:x>
      <cdr:y>0.18584</cdr:y>
    </cdr:to>
    <cdr:sp macro="" textlink="Data_Sheet!$I$14">
      <cdr:nvSpPr>
        <cdr:cNvPr id="2" name="TextBox 1"/>
        <cdr:cNvSpPr txBox="1"/>
      </cdr:nvSpPr>
      <cdr:spPr>
        <a:xfrm xmlns:a="http://schemas.openxmlformats.org/drawingml/2006/main">
          <a:off x="1241837" y="614393"/>
          <a:ext cx="156179" cy="129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fld id="{171B2B7A-9B9A-43F3-9C7D-E39F84543B76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0.21323</cdr:x>
      <cdr:y>0.27523</cdr:y>
    </cdr:from>
    <cdr:to>
      <cdr:x>0.24003</cdr:x>
      <cdr:y>0.30749</cdr:y>
    </cdr:to>
    <cdr:sp macro="" textlink="Data_Sheet!$I$15">
      <cdr:nvSpPr>
        <cdr:cNvPr id="6" name="TextBox 1"/>
        <cdr:cNvSpPr txBox="1"/>
      </cdr:nvSpPr>
      <cdr:spPr>
        <a:xfrm xmlns:a="http://schemas.openxmlformats.org/drawingml/2006/main">
          <a:off x="1242619" y="1101067"/>
          <a:ext cx="156179" cy="129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FD784986-81A5-4680-B340-B1F5F9C85304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0.21019</cdr:x>
      <cdr:y>0.40073</cdr:y>
    </cdr:from>
    <cdr:to>
      <cdr:x>0.237</cdr:x>
      <cdr:y>0.43299</cdr:y>
    </cdr:to>
    <cdr:sp macro="" textlink="Data_Sheet!$I$16">
      <cdr:nvSpPr>
        <cdr:cNvPr id="7" name="TextBox 1"/>
        <cdr:cNvSpPr txBox="1"/>
      </cdr:nvSpPr>
      <cdr:spPr>
        <a:xfrm xmlns:a="http://schemas.openxmlformats.org/drawingml/2006/main">
          <a:off x="1224903" y="1603123"/>
          <a:ext cx="156237" cy="129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4E7C5E86-3B99-4CF0-A76B-6CE7EA22A4D2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0.21442</cdr:x>
      <cdr:y>0.52637</cdr:y>
    </cdr:from>
    <cdr:to>
      <cdr:x>0.24123</cdr:x>
      <cdr:y>0.55863</cdr:y>
    </cdr:to>
    <cdr:sp macro="" textlink="Data_Sheet!$I$17">
      <cdr:nvSpPr>
        <cdr:cNvPr id="8" name="TextBox 1"/>
        <cdr:cNvSpPr txBox="1"/>
      </cdr:nvSpPr>
      <cdr:spPr>
        <a:xfrm xmlns:a="http://schemas.openxmlformats.org/drawingml/2006/main">
          <a:off x="1249540" y="2105737"/>
          <a:ext cx="156237" cy="129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E4951AB6-C4B5-4BC3-A6B8-00BD2615CA28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0.21605</cdr:x>
      <cdr:y>0.64913</cdr:y>
    </cdr:from>
    <cdr:to>
      <cdr:x>0.24286</cdr:x>
      <cdr:y>0.68139</cdr:y>
    </cdr:to>
    <cdr:sp macro="" textlink="Data_Sheet!$I$18">
      <cdr:nvSpPr>
        <cdr:cNvPr id="9" name="TextBox 1"/>
        <cdr:cNvSpPr txBox="1"/>
      </cdr:nvSpPr>
      <cdr:spPr>
        <a:xfrm xmlns:a="http://schemas.openxmlformats.org/drawingml/2006/main">
          <a:off x="1259039" y="2596826"/>
          <a:ext cx="156237" cy="129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74A9E68A-EFCF-4856-B398-5D5095F55513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0.21465</cdr:x>
      <cdr:y>0.77437</cdr:y>
    </cdr:from>
    <cdr:to>
      <cdr:x>0.24146</cdr:x>
      <cdr:y>0.80663</cdr:y>
    </cdr:to>
    <cdr:sp macro="" textlink="Data_Sheet!$I$19">
      <cdr:nvSpPr>
        <cdr:cNvPr id="10" name="TextBox 1"/>
        <cdr:cNvSpPr txBox="1"/>
      </cdr:nvSpPr>
      <cdr:spPr>
        <a:xfrm xmlns:a="http://schemas.openxmlformats.org/drawingml/2006/main">
          <a:off x="1250880" y="3097862"/>
          <a:ext cx="156237" cy="129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89A12D40-8FA5-444C-9907-1857776B15FD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59769" cy="4191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0.00719</cdr:y>
    </cdr:from>
    <cdr:to>
      <cdr:x>1</cdr:x>
      <cdr:y>0.11342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0" y="28745"/>
          <a:ext cx="6220558" cy="424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800" b="1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Figure 11.4: Child Mortality for</a:t>
          </a:r>
          <a:r>
            <a:rPr lang="en-CA" sz="8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 First Nations by On- and Off-Reserve and for All Other Manitobans</a:t>
          </a:r>
          <a:r>
            <a:rPr lang="en-CA" sz="800" b="1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 </a:t>
          </a:r>
          <a:r>
            <a:rPr lang="en-CA" sz="8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by Income Quintile</a:t>
          </a:r>
          <a:br>
            <a:rPr lang="en-CA" sz="9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</a:br>
          <a:r>
            <a:rPr lang="en-CA" sz="800" b="0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Crude rate, per 100,000 children age 1-19 years, 2012-2016</a:t>
          </a:r>
          <a:endParaRPr lang="en-US" sz="800" b="0">
            <a:effectLst/>
            <a:latin typeface="Segoe UI" pitchFamily="34" charset="0"/>
            <a:ea typeface="Segoe UI" pitchFamily="34" charset="0"/>
            <a:cs typeface="Segoe UI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0.78987</cdr:y>
    </cdr:from>
    <cdr:to>
      <cdr:x>1</cdr:x>
      <cdr:y>1</cdr:y>
    </cdr:to>
    <cdr:sp macro="" textlink="">
      <cdr:nvSpPr>
        <cdr:cNvPr id="17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3165231"/>
          <a:ext cx="6232071" cy="8420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CA" sz="700" b="0" i="0" u="none" strike="noStrike" baseline="0">
              <a:solidFill>
                <a:schemeClr val="tx1"/>
              </a:solidFill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Statistically significant differences (p&lt;0.01):</a:t>
          </a:r>
        </a:p>
        <a:p xmlns:a="http://schemas.openxmlformats.org/drawingml/2006/main">
          <a:pPr algn="l" rtl="0">
            <a:defRPr sz="1000"/>
          </a:pPr>
          <a:r>
            <a:rPr lang="en-CA" sz="700" b="0" i="0" u="none" strike="noStrike" baseline="0">
              <a:solidFill>
                <a:schemeClr val="tx1"/>
              </a:solidFill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1 - Urban areas: Off-reserve First Nations compared to AOM in the lowest income quintile </a:t>
          </a:r>
        </a:p>
        <a:p xmlns:a="http://schemas.openxmlformats.org/drawingml/2006/main">
          <a:pPr algn="l" rtl="0">
            <a:defRPr sz="1000"/>
          </a:pPr>
          <a:r>
            <a:rPr lang="en-CA" sz="700" b="0" i="0" u="none" strike="noStrike" baseline="0">
              <a:solidFill>
                <a:schemeClr val="tx1"/>
              </a:solidFill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2 - Urban areas: Off-Reserve First Nations compared to AOM in the highest income quintile </a:t>
          </a:r>
        </a:p>
        <a:p xmlns:a="http://schemas.openxmlformats.org/drawingml/2006/main">
          <a:pPr algn="l" rtl="0">
            <a:defRPr sz="1000"/>
          </a:pPr>
          <a:r>
            <a:rPr lang="en-CA" sz="700" b="0" i="0" u="none" strike="noStrike" baseline="0">
              <a:solidFill>
                <a:schemeClr val="tx1"/>
              </a:solidFill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3 - Rural areas: On-Reserve First Nations compared to AOM in the lowest income quintile </a:t>
          </a:r>
        </a:p>
        <a:p xmlns:a="http://schemas.openxmlformats.org/drawingml/2006/main">
          <a:pPr algn="l" rtl="0">
            <a:defRPr sz="1000"/>
          </a:pPr>
          <a:r>
            <a:rPr lang="en-CA" sz="700" b="0" i="0" u="none" strike="noStrike" baseline="0">
              <a:solidFill>
                <a:schemeClr val="tx1"/>
              </a:solidFill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4 - Rural areas: On-Reserve First Nations compared to AOM in the highest income quintile </a:t>
          </a:r>
        </a:p>
      </cdr:txBody>
    </cdr:sp>
  </cdr:relSizeAnchor>
  <cdr:relSizeAnchor xmlns:cdr="http://schemas.openxmlformats.org/drawingml/2006/chartDrawing">
    <cdr:from>
      <cdr:x>0.23372</cdr:x>
      <cdr:y>0.13562</cdr:y>
    </cdr:from>
    <cdr:to>
      <cdr:x>0.25119</cdr:x>
      <cdr:y>0.16018</cdr:y>
    </cdr:to>
    <cdr:sp macro="" textlink="Data_Sheet!$L$49">
      <cdr:nvSpPr>
        <cdr:cNvPr id="15" name="TextBox 1"/>
        <cdr:cNvSpPr txBox="1"/>
      </cdr:nvSpPr>
      <cdr:spPr>
        <a:xfrm xmlns:a="http://schemas.openxmlformats.org/drawingml/2006/main">
          <a:off x="1456559" y="543472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6BE0AD-D149-4AF2-8BAF-69D8AAC7F49F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0.23372</cdr:x>
      <cdr:y>0.22193</cdr:y>
    </cdr:from>
    <cdr:to>
      <cdr:x>0.25119</cdr:x>
      <cdr:y>0.2465</cdr:y>
    </cdr:to>
    <cdr:sp macro="" textlink="Data_Sheet!$L$50">
      <cdr:nvSpPr>
        <cdr:cNvPr id="20" name="TextBox 1"/>
        <cdr:cNvSpPr txBox="1"/>
      </cdr:nvSpPr>
      <cdr:spPr>
        <a:xfrm xmlns:a="http://schemas.openxmlformats.org/drawingml/2006/main">
          <a:off x="1456559" y="889354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FF11FAF1-0F4F-43FA-80EE-E6DD8408F973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0.23477</cdr:x>
      <cdr:y>0.31026</cdr:y>
    </cdr:from>
    <cdr:to>
      <cdr:x>0.25224</cdr:x>
      <cdr:y>0.33483</cdr:y>
    </cdr:to>
    <cdr:sp macro="" textlink="Data_Sheet!$L$51">
      <cdr:nvSpPr>
        <cdr:cNvPr id="21" name="TextBox 1"/>
        <cdr:cNvSpPr txBox="1"/>
      </cdr:nvSpPr>
      <cdr:spPr>
        <a:xfrm xmlns:a="http://schemas.openxmlformats.org/drawingml/2006/main">
          <a:off x="1463128" y="1243319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0EEFE821-4411-4805-A939-40CFF4E9DAFE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0.23595</cdr:x>
      <cdr:y>0.40429</cdr:y>
    </cdr:from>
    <cdr:to>
      <cdr:x>0.25341</cdr:x>
      <cdr:y>0.42885</cdr:y>
    </cdr:to>
    <cdr:sp macro="" textlink="Data_Sheet!$L$52">
      <cdr:nvSpPr>
        <cdr:cNvPr id="22" name="TextBox 1"/>
        <cdr:cNvSpPr txBox="1"/>
      </cdr:nvSpPr>
      <cdr:spPr>
        <a:xfrm xmlns:a="http://schemas.openxmlformats.org/drawingml/2006/main">
          <a:off x="1467754" y="1617353"/>
          <a:ext cx="108611" cy="982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5E9DFDC-77CC-4311-8848-CBD849458AA0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0.23583</cdr:x>
      <cdr:y>0.48365</cdr:y>
    </cdr:from>
    <cdr:to>
      <cdr:x>0.2533</cdr:x>
      <cdr:y>0.50821</cdr:y>
    </cdr:to>
    <cdr:sp macro="" textlink="Data_Sheet!$L$53">
      <cdr:nvSpPr>
        <cdr:cNvPr id="23" name="TextBox 1"/>
        <cdr:cNvSpPr txBox="1"/>
      </cdr:nvSpPr>
      <cdr:spPr>
        <a:xfrm xmlns:a="http://schemas.openxmlformats.org/drawingml/2006/main">
          <a:off x="1469697" y="1938115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81AFCD1-2F32-4F2A-B78A-3B29AC2D1A0B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0.23688</cdr:x>
      <cdr:y>0.57525</cdr:y>
    </cdr:from>
    <cdr:to>
      <cdr:x>0.25435</cdr:x>
      <cdr:y>0.59982</cdr:y>
    </cdr:to>
    <cdr:sp macro="" textlink="Data_Sheet!$L$54">
      <cdr:nvSpPr>
        <cdr:cNvPr id="24" name="TextBox 1"/>
        <cdr:cNvSpPr txBox="1"/>
      </cdr:nvSpPr>
      <cdr:spPr>
        <a:xfrm xmlns:a="http://schemas.openxmlformats.org/drawingml/2006/main">
          <a:off x="1476265" y="2305219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55A1D288-8F3D-4D6E-A8BB-75EAAEE332CE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0.23477</cdr:x>
      <cdr:y>0.66705</cdr:y>
    </cdr:from>
    <cdr:to>
      <cdr:x>0.25224</cdr:x>
      <cdr:y>0.69161</cdr:y>
    </cdr:to>
    <cdr:sp macro="" textlink="Data_Sheet!$L$55">
      <cdr:nvSpPr>
        <cdr:cNvPr id="25" name="TextBox 1"/>
        <cdr:cNvSpPr txBox="1"/>
      </cdr:nvSpPr>
      <cdr:spPr>
        <a:xfrm xmlns:a="http://schemas.openxmlformats.org/drawingml/2006/main">
          <a:off x="1463127" y="2673080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7FEE59C-5D45-45D2-AF9D-4F7395FA8D99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0.69599</cdr:x>
      <cdr:y>0.28104</cdr:y>
    </cdr:from>
    <cdr:to>
      <cdr:x>0.94801</cdr:x>
      <cdr:y>0.407</cdr:y>
    </cdr:to>
    <cdr:grpSp>
      <cdr:nvGrpSpPr>
        <cdr:cNvPr id="18" name="Group 17">
          <a:extLst xmlns:a="http://schemas.openxmlformats.org/drawingml/2006/main">
            <a:ext uri="{FF2B5EF4-FFF2-40B4-BE49-F238E27FC236}">
              <a16:creationId xmlns:a16="http://schemas.microsoft.com/office/drawing/2014/main" id="{BB3A8720-9350-463C-8C99-9A0EF9FCEB69}"/>
            </a:ext>
          </a:extLst>
        </cdr:cNvPr>
        <cdr:cNvGrpSpPr/>
      </cdr:nvGrpSpPr>
      <cdr:grpSpPr>
        <a:xfrm xmlns:a="http://schemas.openxmlformats.org/drawingml/2006/main">
          <a:off x="4426336" y="1177839"/>
          <a:ext cx="1602789" cy="527898"/>
          <a:chOff x="0" y="0"/>
          <a:chExt cx="1527263" cy="539991"/>
        </a:xfrm>
      </cdr:grpSpPr>
      <cdr:sp macro="" textlink="">
        <cdr:nvSpPr>
          <cdr:cNvPr id="19" name="TextBox 1"/>
          <cdr:cNvSpPr txBox="1"/>
        </cdr:nvSpPr>
        <cdr:spPr>
          <a:xfrm xmlns:a="http://schemas.openxmlformats.org/drawingml/2006/main">
            <a:off x="0" y="0"/>
            <a:ext cx="1527263" cy="539991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solidFill>
              <a:schemeClr val="tx1"/>
            </a:solidFill>
          </a:ln>
        </cdr:spPr>
        <cdr:txBody>
          <a:bodyPr xmlns:a="http://schemas.openxmlformats.org/drawingml/2006/main" wrap="square" rtlCol="0" anchor="ctr">
            <a:noAutofit/>
          </a:bodyPr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>
              <a:spcAft>
                <a:spcPts val="0"/>
              </a:spcAft>
            </a:pPr>
            <a:r>
              <a:rPr lang="en-CA" sz="70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>                 First Nations</a:t>
            </a:r>
            <a:br>
              <a:rPr lang="en-CA" sz="4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</a:br>
            <a:r>
              <a:rPr lang="en-CA" sz="4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> </a:t>
            </a:r>
            <a:r>
              <a:rPr lang="en-CA" sz="5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> </a:t>
            </a:r>
            <a:br>
              <a:rPr lang="en-CA" sz="7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</a:br>
            <a:r>
              <a:rPr lang="en-CA" sz="7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>                 </a:t>
            </a:r>
            <a:r>
              <a:rPr lang="en-CA" sz="70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>All Other Manitobans</a:t>
            </a:r>
            <a:endParaRPr lang="en-CA" sz="7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cdr:txBody>
      </cdr:sp>
      <cdr:sp macro="" textlink="">
        <cdr:nvSpPr>
          <cdr:cNvPr id="30" name="Rectangle 29"/>
          <cdr:cNvSpPr/>
        </cdr:nvSpPr>
        <cdr:spPr>
          <a:xfrm xmlns:a="http://schemas.openxmlformats.org/drawingml/2006/main">
            <a:off x="89328" y="123052"/>
            <a:ext cx="326700" cy="70088"/>
          </a:xfrm>
          <a:prstGeom xmlns:a="http://schemas.openxmlformats.org/drawingml/2006/main" prst="rect">
            <a:avLst/>
          </a:prstGeom>
          <a:pattFill xmlns:a="http://schemas.openxmlformats.org/drawingml/2006/main" prst="dkUpDiag">
            <a:fgClr>
              <a:schemeClr val="accent1"/>
            </a:fgClr>
            <a:bgClr>
              <a:schemeClr val="bg1"/>
            </a:bgClr>
          </a:pattFill>
          <a:ln xmlns:a="http://schemas.openxmlformats.org/drawingml/2006/main" w="9525">
            <a:solidFill>
              <a:schemeClr val="accent1"/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CA"/>
          </a:p>
        </cdr:txBody>
      </cdr:sp>
      <cdr:sp macro="" textlink="">
        <cdr:nvSpPr>
          <cdr:cNvPr id="31" name="Rectangle 30"/>
          <cdr:cNvSpPr/>
        </cdr:nvSpPr>
        <cdr:spPr>
          <a:xfrm xmlns:a="http://schemas.openxmlformats.org/drawingml/2006/main">
            <a:off x="94814" y="369566"/>
            <a:ext cx="326182" cy="6963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857D"/>
          </a:solidFill>
          <a:ln xmlns:a="http://schemas.openxmlformats.org/drawingml/2006/main" w="9525">
            <a:solidFill>
              <a:srgbClr val="00857D"/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CA"/>
          </a:p>
        </cdr:txBody>
      </cdr:sp>
    </cdr:grp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11</xdr:row>
      <xdr:rowOff>10584</xdr:rowOff>
    </xdr:from>
    <xdr:to>
      <xdr:col>14</xdr:col>
      <xdr:colOff>836084</xdr:colOff>
      <xdr:row>19</xdr:row>
      <xdr:rowOff>169334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1" y="2116667"/>
          <a:ext cx="16922750" cy="1682750"/>
        </a:xfrm>
        <a:prstGeom prst="rect">
          <a:avLst/>
        </a:prstGeom>
        <a:solidFill>
          <a:schemeClr val="tx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>
              <a:solidFill>
                <a:srgbClr val="FF0000"/>
              </a:solidFill>
            </a:rPr>
            <a:t>Not currently being</a:t>
          </a:r>
          <a:r>
            <a:rPr lang="en-US" sz="1800" baseline="0">
              <a:solidFill>
                <a:srgbClr val="FF0000"/>
              </a:solidFill>
            </a:rPr>
            <a:t> used. But please do not delete. Corresponding graph and output tabs are hiddin. </a:t>
          </a:r>
          <a:endParaRPr lang="en-US" sz="18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9.9978637043366805E-2"/>
  </sheetPr>
  <dimension ref="A1:P28"/>
  <sheetViews>
    <sheetView tabSelected="1" workbookViewId="0">
      <selection activeCell="B1" sqref="B1"/>
    </sheetView>
  </sheetViews>
  <sheetFormatPr defaultColWidth="10.7109375" defaultRowHeight="12" x14ac:dyDescent="0.2"/>
  <cols>
    <col min="1" max="1" width="1.42578125" style="5" customWidth="1"/>
    <col min="2" max="2" width="28.42578125" style="5" customWidth="1"/>
    <col min="3" max="3" width="12.7109375" style="9" customWidth="1"/>
    <col min="4" max="4" width="12.7109375" style="5" customWidth="1"/>
    <col min="5" max="5" width="12.7109375" style="9" customWidth="1"/>
    <col min="6" max="10" width="12.7109375" style="5" customWidth="1"/>
    <col min="11" max="11" width="1.85546875" style="5" customWidth="1"/>
    <col min="12" max="12" width="20.85546875" style="5" customWidth="1"/>
    <col min="13" max="14" width="12.7109375" style="5" customWidth="1"/>
    <col min="15" max="16384" width="10.7109375" style="5"/>
  </cols>
  <sheetData>
    <row r="1" spans="1:16" x14ac:dyDescent="0.2">
      <c r="B1" s="3" t="s">
        <v>265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6" x14ac:dyDescent="0.2">
      <c r="B2" s="6" t="s">
        <v>264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6" x14ac:dyDescent="0.2">
      <c r="B3" s="13"/>
      <c r="C3" s="14"/>
      <c r="D3" s="14"/>
      <c r="E3" s="14"/>
      <c r="F3" s="14"/>
      <c r="G3" s="14"/>
      <c r="H3" s="14"/>
      <c r="I3" s="14"/>
      <c r="J3" s="14"/>
      <c r="K3" s="4"/>
      <c r="L3" s="4"/>
      <c r="M3" s="4"/>
      <c r="N3" s="4"/>
    </row>
    <row r="4" spans="1:16" s="8" customFormat="1" ht="24.75" customHeight="1" x14ac:dyDescent="0.25">
      <c r="A4" s="19"/>
      <c r="B4" s="97" t="s">
        <v>127</v>
      </c>
      <c r="C4" s="12" t="s">
        <v>128</v>
      </c>
      <c r="D4" s="12" t="s">
        <v>129</v>
      </c>
      <c r="E4" s="12" t="s">
        <v>128</v>
      </c>
      <c r="F4" s="38" t="s">
        <v>129</v>
      </c>
      <c r="G4" s="12" t="s">
        <v>128</v>
      </c>
      <c r="H4" s="38" t="s">
        <v>129</v>
      </c>
      <c r="I4" s="12" t="s">
        <v>128</v>
      </c>
      <c r="J4" s="17" t="s">
        <v>129</v>
      </c>
      <c r="K4" s="10"/>
      <c r="O4" s="7"/>
      <c r="P4" s="7"/>
    </row>
    <row r="5" spans="1:16" s="8" customFormat="1" ht="13.9" customHeight="1" x14ac:dyDescent="0.25">
      <c r="A5" s="19"/>
      <c r="B5" s="98"/>
      <c r="C5" s="95" t="s">
        <v>67</v>
      </c>
      <c r="D5" s="95"/>
      <c r="E5" s="95" t="s">
        <v>69</v>
      </c>
      <c r="F5" s="95"/>
      <c r="G5" s="95" t="s">
        <v>93</v>
      </c>
      <c r="H5" s="95"/>
      <c r="I5" s="95" t="s">
        <v>74</v>
      </c>
      <c r="J5" s="96"/>
      <c r="K5" s="10"/>
      <c r="O5" s="7"/>
      <c r="P5" s="7"/>
    </row>
    <row r="6" spans="1:16" s="7" customFormat="1" ht="13.5" customHeight="1" x14ac:dyDescent="0.25">
      <c r="B6" s="78" t="s">
        <v>94</v>
      </c>
      <c r="C6" s="79">
        <f>IF(Data_Sheet!L4="s", "s", Data_Sheet!Y4)</f>
        <v>12</v>
      </c>
      <c r="D6" s="80">
        <f>IF(Data_Sheet!L4="s", "s", Data_Sheet!AC4)</f>
        <v>66.046562827000002</v>
      </c>
      <c r="E6" s="79" t="str">
        <f>IF(Data_Sheet!M4="s", "s", Data_Sheet!Z4)</f>
        <v>s</v>
      </c>
      <c r="F6" s="80" t="str">
        <f>IF(Data_Sheet!L4="s", "s", Data_Sheet!AD4)</f>
        <v>s</v>
      </c>
      <c r="G6" s="79">
        <f>IF(Data_Sheet!N4="s", "s", Data_Sheet!AA4)</f>
        <v>13</v>
      </c>
      <c r="H6" s="80">
        <f>IF(Data_Sheet!N4="s", "s", Data_Sheet!AE4)</f>
        <v>53.928482535000001</v>
      </c>
      <c r="I6" s="79">
        <f>IF(Data_Sheet!O4="s", "s", Data_Sheet!AB4)</f>
        <v>71</v>
      </c>
      <c r="J6" s="81">
        <f>IF(Data_Sheet!O4="s", "s", Data_Sheet!AF4)</f>
        <v>27.485076764999999</v>
      </c>
      <c r="K6" s="10"/>
    </row>
    <row r="7" spans="1:16" s="7" customFormat="1" ht="13.5" customHeight="1" x14ac:dyDescent="0.25">
      <c r="B7" s="82" t="s">
        <v>95</v>
      </c>
      <c r="C7" s="83" t="s">
        <v>120</v>
      </c>
      <c r="D7" s="84" t="s">
        <v>120</v>
      </c>
      <c r="E7" s="83">
        <f>IF(Data_Sheet!M5="s", "s", Data_Sheet!Z5)</f>
        <v>28</v>
      </c>
      <c r="F7" s="84">
        <f>IF(Data_Sheet!L5="s", "s", Data_Sheet!AD5)</f>
        <v>51.787596870999998</v>
      </c>
      <c r="G7" s="83">
        <f>IF(Data_Sheet!N5="s", "s", Data_Sheet!AA5)</f>
        <v>28</v>
      </c>
      <c r="H7" s="84">
        <f>IF(Data_Sheet!N5="s", "s", Data_Sheet!AE5)</f>
        <v>51.787596870999998</v>
      </c>
      <c r="I7" s="83">
        <f>IF(Data_Sheet!O5="s", "s", Data_Sheet!AB5)</f>
        <v>109</v>
      </c>
      <c r="J7" s="85">
        <f>IF(Data_Sheet!O5="s", "s", Data_Sheet!AF5)</f>
        <v>14.932365971999999</v>
      </c>
      <c r="K7" s="10"/>
    </row>
    <row r="8" spans="1:16" s="7" customFormat="1" ht="13.5" customHeight="1" x14ac:dyDescent="0.25">
      <c r="B8" s="86" t="s">
        <v>66</v>
      </c>
      <c r="C8" s="87">
        <f>IF(Data_Sheet!L6="s", "s", Data_Sheet!Y6)</f>
        <v>15</v>
      </c>
      <c r="D8" s="88">
        <f>IF(Data_Sheet!L6="s", "s", Data_Sheet!AC6)</f>
        <v>79.584040747000003</v>
      </c>
      <c r="E8" s="87" t="str">
        <f>IF(Data_Sheet!M6="s", "s", Data_Sheet!Z6)</f>
        <v>s</v>
      </c>
      <c r="F8" s="88" t="str">
        <f>IF(Data_Sheet!L6="s", "s", Data_Sheet!AD6)</f>
        <v>s</v>
      </c>
      <c r="G8" s="87">
        <f>IF(Data_Sheet!N6="s", "s", Data_Sheet!AA6)</f>
        <v>20</v>
      </c>
      <c r="H8" s="88">
        <f>IF(Data_Sheet!N6="s", "s", Data_Sheet!AE6)</f>
        <v>66.777963271999994</v>
      </c>
      <c r="I8" s="87">
        <f>IF(Data_Sheet!O6="s", "s", Data_Sheet!AB6)</f>
        <v>31</v>
      </c>
      <c r="J8" s="43">
        <f>IF(Data_Sheet!O6="s", "s", Data_Sheet!AF6)</f>
        <v>18.355033720000002</v>
      </c>
      <c r="K8" s="10"/>
    </row>
    <row r="9" spans="1:16" s="7" customFormat="1" ht="13.5" customHeight="1" x14ac:dyDescent="0.25">
      <c r="B9" s="82" t="s">
        <v>96</v>
      </c>
      <c r="C9" s="83">
        <f>IF(Data_Sheet!L7="s", "s", Data_Sheet!Y7)</f>
        <v>44</v>
      </c>
      <c r="D9" s="84">
        <f>IF(Data_Sheet!L7="s", "s", Data_Sheet!AC7)</f>
        <v>95.942085868000007</v>
      </c>
      <c r="E9" s="83" t="str">
        <f>IF(Data_Sheet!M7="s", "s", Data_Sheet!Z7)</f>
        <v>s</v>
      </c>
      <c r="F9" s="84" t="str">
        <f>IF(Data_Sheet!L7="s", "s", Data_Sheet!AD7)</f>
        <v>s</v>
      </c>
      <c r="G9" s="83">
        <f>IF(Data_Sheet!N7="s", "s", Data_Sheet!AA7)</f>
        <v>47</v>
      </c>
      <c r="H9" s="84">
        <f>IF(Data_Sheet!N7="s", "s", Data_Sheet!AE7)</f>
        <v>89.617694728000004</v>
      </c>
      <c r="I9" s="83">
        <f>IF(Data_Sheet!O7="s", "s", Data_Sheet!AB7)</f>
        <v>21</v>
      </c>
      <c r="J9" s="85">
        <f>IF(Data_Sheet!O7="s", "s", Data_Sheet!AF7)</f>
        <v>19.151148157000002</v>
      </c>
      <c r="K9" s="10"/>
    </row>
    <row r="10" spans="1:16" s="7" customFormat="1" ht="13.5" customHeight="1" x14ac:dyDescent="0.25">
      <c r="B10" s="86" t="s">
        <v>97</v>
      </c>
      <c r="C10" s="87">
        <f>IF(Data_Sheet!L8="s", "s", Data_Sheet!Y8)</f>
        <v>99</v>
      </c>
      <c r="D10" s="88">
        <f>IF(Data_Sheet!L8="s", "s", Data_Sheet!AC8)</f>
        <v>95.395022114</v>
      </c>
      <c r="E10" s="87">
        <f>IF(Data_Sheet!M8="s", "s", Data_Sheet!Z8)</f>
        <v>10</v>
      </c>
      <c r="F10" s="88">
        <f>IF(Data_Sheet!L8="s", "s", Data_Sheet!AD8)</f>
        <v>63.095463436000003</v>
      </c>
      <c r="G10" s="87">
        <f>IF(Data_Sheet!N8="s", "s", Data_Sheet!AA8)</f>
        <v>109</v>
      </c>
      <c r="H10" s="88">
        <f>IF(Data_Sheet!N8="s", "s", Data_Sheet!AE8)</f>
        <v>91.115792288999998</v>
      </c>
      <c r="I10" s="87">
        <f>IF(Data_Sheet!O8="s", "s", Data_Sheet!AB8)</f>
        <v>10</v>
      </c>
      <c r="J10" s="43">
        <f>IF(Data_Sheet!O8="s", "s", Data_Sheet!AF8)</f>
        <v>32.041012496</v>
      </c>
      <c r="K10" s="10"/>
    </row>
    <row r="11" spans="1:16" s="7" customFormat="1" ht="13.5" customHeight="1" x14ac:dyDescent="0.25">
      <c r="B11" s="89" t="s">
        <v>0</v>
      </c>
      <c r="C11" s="91">
        <f>IF(Data_Sheet!L9="s", "s", Data_Sheet!Y9)</f>
        <v>170</v>
      </c>
      <c r="D11" s="90">
        <f>IF(Data_Sheet!L9="s", "s", Data_Sheet!AC9)</f>
        <v>91.076145014999994</v>
      </c>
      <c r="E11" s="91">
        <f>IF(Data_Sheet!M9="s", "s", Data_Sheet!Z9)</f>
        <v>51</v>
      </c>
      <c r="F11" s="90">
        <f>IF(Data_Sheet!L9="s", "s", Data_Sheet!AD9)</f>
        <v>52.166975235999999</v>
      </c>
      <c r="G11" s="91">
        <f>IF(Data_Sheet!N9="s", "s", Data_Sheet!AA9)</f>
        <v>221</v>
      </c>
      <c r="H11" s="90">
        <f>IF(Data_Sheet!N9="s", "s", Data_Sheet!AE9)</f>
        <v>77.701990015000007</v>
      </c>
      <c r="I11" s="91">
        <f>IF(Data_Sheet!O9="s", "s", Data_Sheet!AB9)</f>
        <v>251</v>
      </c>
      <c r="J11" s="92">
        <f>IF(Data_Sheet!O9="s", "s", Data_Sheet!AF9)</f>
        <v>19.197219692000001</v>
      </c>
      <c r="K11" s="10"/>
    </row>
    <row r="12" spans="1:16" s="8" customFormat="1" ht="13.5" customHeight="1" x14ac:dyDescent="0.25">
      <c r="B12" s="15"/>
      <c r="C12" s="15"/>
      <c r="D12" s="15"/>
      <c r="E12"/>
      <c r="F12"/>
      <c r="G12"/>
      <c r="H12"/>
      <c r="I12"/>
      <c r="J12"/>
      <c r="K12" s="10"/>
      <c r="O12" s="7"/>
      <c r="P12" s="7"/>
    </row>
    <row r="13" spans="1:16" ht="24.75" customHeight="1" x14ac:dyDescent="0.2">
      <c r="A13" s="18"/>
      <c r="B13" s="99" t="s">
        <v>126</v>
      </c>
      <c r="C13" s="53" t="s">
        <v>128</v>
      </c>
      <c r="D13" s="53" t="s">
        <v>129</v>
      </c>
      <c r="E13" s="64" t="s">
        <v>128</v>
      </c>
      <c r="F13" s="54" t="s">
        <v>129</v>
      </c>
      <c r="G13" s="11"/>
      <c r="H13" s="11"/>
      <c r="I13" s="11"/>
      <c r="J13" s="11"/>
      <c r="K13" s="11"/>
    </row>
    <row r="14" spans="1:16" ht="13.5" customHeight="1" x14ac:dyDescent="0.2">
      <c r="A14" s="18"/>
      <c r="B14" s="100"/>
      <c r="C14" s="95" t="s">
        <v>67</v>
      </c>
      <c r="D14" s="101"/>
      <c r="E14" s="95" t="s">
        <v>69</v>
      </c>
      <c r="F14" s="96"/>
      <c r="G14" s="11"/>
      <c r="H14" s="11"/>
      <c r="I14" s="11"/>
      <c r="J14" s="11"/>
      <c r="K14" s="11"/>
    </row>
    <row r="15" spans="1:16" ht="13.5" customHeight="1" x14ac:dyDescent="0.2">
      <c r="A15" s="18"/>
      <c r="B15" s="58" t="str">
        <f>Data_Sheet!C24</f>
        <v>Interlake Reserves (IRTC)</v>
      </c>
      <c r="C15" s="71">
        <f>IF(Data_Sheet!I24="s", "s", Data_Sheet!L24)</f>
        <v>7</v>
      </c>
      <c r="D15" s="72">
        <f>IF(Data_Sheet!I24="s", "s", Data_Sheet!M24)</f>
        <v>50.574380464000001</v>
      </c>
      <c r="E15" s="71">
        <f>IF(Data_Sheet!I35="s", "s", Data_Sheet!L35)</f>
        <v>6</v>
      </c>
      <c r="F15" s="72">
        <f>IF(Data_Sheet!I35="s", "s", Data_Sheet!M35)</f>
        <v>47.915668424000003</v>
      </c>
      <c r="G15" s="11"/>
      <c r="H15" s="11"/>
      <c r="I15" s="11"/>
      <c r="J15" s="11"/>
      <c r="K15" s="11"/>
    </row>
    <row r="16" spans="1:16" ht="13.5" customHeight="1" x14ac:dyDescent="0.2">
      <c r="A16" s="18"/>
      <c r="B16" s="59" t="str">
        <f>Data_Sheet!C25</f>
        <v>West Region (WRTC)</v>
      </c>
      <c r="C16" s="62">
        <f>IF(Data_Sheet!I25="s", "s", Data_Sheet!L25)</f>
        <v>12</v>
      </c>
      <c r="D16" s="63">
        <f>IF(Data_Sheet!I25="s", "s", Data_Sheet!M25)</f>
        <v>105.12483573999999</v>
      </c>
      <c r="E16" s="62" t="str">
        <f>IF(Data_Sheet!I36="s", "s", Data_Sheet!L36)</f>
        <v>s</v>
      </c>
      <c r="F16" s="63" t="str">
        <f>IF(Data_Sheet!I36="s", "s", Data_Sheet!M36)</f>
        <v>s</v>
      </c>
      <c r="G16" s="11"/>
      <c r="H16" s="11"/>
      <c r="I16" s="11"/>
      <c r="J16" s="11"/>
      <c r="K16" s="11"/>
    </row>
    <row r="17" spans="1:11" ht="13.5" customHeight="1" x14ac:dyDescent="0.2">
      <c r="A17" s="18"/>
      <c r="B17" s="60" t="str">
        <f>Data_Sheet!C26</f>
        <v>Independent-North</v>
      </c>
      <c r="C17" s="71">
        <f>IF(Data_Sheet!I26="s", "s", Data_Sheet!L26)</f>
        <v>30</v>
      </c>
      <c r="D17" s="72">
        <f>IF(Data_Sheet!I26="s", "s", Data_Sheet!M26)</f>
        <v>75.225677031000004</v>
      </c>
      <c r="E17" s="71">
        <f>IF(Data_Sheet!I37="s", "s", Data_Sheet!L37)</f>
        <v>13</v>
      </c>
      <c r="F17" s="72">
        <f>IF(Data_Sheet!I37="s", "s", Data_Sheet!M37)</f>
        <v>92.526690391000002</v>
      </c>
      <c r="G17" s="11"/>
      <c r="H17" s="11"/>
      <c r="I17" s="11"/>
      <c r="J17" s="11"/>
      <c r="K17" s="11"/>
    </row>
    <row r="18" spans="1:11" ht="13.5" customHeight="1" x14ac:dyDescent="0.2">
      <c r="A18" s="18"/>
      <c r="B18" s="59" t="str">
        <f>Data_Sheet!C27</f>
        <v>Swampy Cree (SCTC)</v>
      </c>
      <c r="C18" s="62">
        <f>IF(Data_Sheet!I27="s", "s", Data_Sheet!L27)</f>
        <v>13</v>
      </c>
      <c r="D18" s="63">
        <f>IF(Data_Sheet!I27="s", "s", Data_Sheet!M27)</f>
        <v>72.050102533</v>
      </c>
      <c r="E18" s="62" t="str">
        <f>IF(Data_Sheet!I38="s", "s", Data_Sheet!L38)</f>
        <v>s</v>
      </c>
      <c r="F18" s="63" t="str">
        <f>IF(Data_Sheet!I38="s", "s", Data_Sheet!M38)</f>
        <v>s</v>
      </c>
      <c r="G18" s="11"/>
      <c r="H18" s="11"/>
      <c r="I18" s="11"/>
      <c r="J18" s="11"/>
      <c r="K18" s="11"/>
    </row>
    <row r="19" spans="1:11" ht="13.5" customHeight="1" x14ac:dyDescent="0.2">
      <c r="A19" s="18"/>
      <c r="B19" s="60" t="str">
        <f>Data_Sheet!C28</f>
        <v>Keewatin (KTC)</v>
      </c>
      <c r="C19" s="71">
        <f>IF(Data_Sheet!I28="s", "s", Data_Sheet!L28)</f>
        <v>26</v>
      </c>
      <c r="D19" s="72">
        <f>IF(Data_Sheet!I28="s", "s", Data_Sheet!M28)</f>
        <v>109.43682128</v>
      </c>
      <c r="E19" s="71">
        <f>IF(Data_Sheet!I39="s", "s", Data_Sheet!L39)</f>
        <v>7</v>
      </c>
      <c r="F19" s="72">
        <f>IF(Data_Sheet!I39="s", "s", Data_Sheet!M39)</f>
        <v>66.118824974000006</v>
      </c>
      <c r="G19" s="11"/>
      <c r="H19" s="11"/>
      <c r="I19" s="11"/>
      <c r="J19" s="11"/>
      <c r="K19" s="11"/>
    </row>
    <row r="20" spans="1:11" ht="13.5" customHeight="1" x14ac:dyDescent="0.2">
      <c r="A20" s="18"/>
      <c r="B20" s="59" t="str">
        <f>Data_Sheet!C29</f>
        <v>Independent-South</v>
      </c>
      <c r="C20" s="62">
        <f>IF(Data_Sheet!I29="s", "s", Data_Sheet!L29)</f>
        <v>22</v>
      </c>
      <c r="D20" s="63">
        <f>IF(Data_Sheet!I29="s", "s", Data_Sheet!M29)</f>
        <v>83.806331186999998</v>
      </c>
      <c r="E20" s="62">
        <f>IF(Data_Sheet!I40="s", "s", Data_Sheet!L40)</f>
        <v>6</v>
      </c>
      <c r="F20" s="63">
        <f>IF(Data_Sheet!I40="s", "s", Data_Sheet!M40)</f>
        <v>36.357025995000001</v>
      </c>
      <c r="G20" s="11"/>
      <c r="H20" s="11"/>
      <c r="I20" s="11"/>
      <c r="J20" s="11"/>
      <c r="K20" s="11"/>
    </row>
    <row r="21" spans="1:11" ht="13.5" customHeight="1" x14ac:dyDescent="0.2">
      <c r="A21" s="18"/>
      <c r="B21" s="60" t="str">
        <f>Data_Sheet!C30</f>
        <v>Dakota Ojibway TC (DOTC)</v>
      </c>
      <c r="C21" s="71">
        <f>IF(Data_Sheet!I30="s", "s", Data_Sheet!L30)</f>
        <v>11</v>
      </c>
      <c r="D21" s="72">
        <f>IF(Data_Sheet!I30="s", "s", Data_Sheet!M30)</f>
        <v>84.706607114999997</v>
      </c>
      <c r="E21" s="71" t="str">
        <f>IF(Data_Sheet!I41="s", "s", Data_Sheet!L41)</f>
        <v>s</v>
      </c>
      <c r="F21" s="72" t="str">
        <f>IF(Data_Sheet!I41="s", "s", Data_Sheet!M41)</f>
        <v>s</v>
      </c>
      <c r="G21" s="11"/>
      <c r="H21" s="11"/>
      <c r="I21" s="11"/>
      <c r="J21" s="11"/>
      <c r="K21" s="11"/>
    </row>
    <row r="22" spans="1:11" ht="13.5" customHeight="1" x14ac:dyDescent="0.2">
      <c r="A22" s="18"/>
      <c r="B22" s="59" t="str">
        <f>Data_Sheet!C31</f>
        <v>Southeast (SERDC)</v>
      </c>
      <c r="C22" s="62">
        <f>IF(Data_Sheet!I31="s", "s", Data_Sheet!L31)</f>
        <v>19</v>
      </c>
      <c r="D22" s="63">
        <f>IF(Data_Sheet!I31="s", "s", Data_Sheet!M31)</f>
        <v>125.68631342</v>
      </c>
      <c r="E22" s="62" t="str">
        <f>IF(Data_Sheet!I42="s", "s", Data_Sheet!L42)</f>
        <v>s</v>
      </c>
      <c r="F22" s="63" t="str">
        <f>IF(Data_Sheet!I42="s", "s", Data_Sheet!M42)</f>
        <v>s</v>
      </c>
      <c r="G22" s="11"/>
      <c r="H22" s="11"/>
      <c r="I22" s="11"/>
      <c r="J22" s="11"/>
      <c r="K22" s="11"/>
    </row>
    <row r="23" spans="1:11" ht="13.5" customHeight="1" x14ac:dyDescent="0.2">
      <c r="A23" s="18"/>
      <c r="B23" s="60" t="str">
        <f>Data_Sheet!C32</f>
        <v>Island Lake (ILTC)</v>
      </c>
      <c r="C23" s="71">
        <f>IF(Data_Sheet!I32="s", "s", Data_Sheet!L32)</f>
        <v>30</v>
      </c>
      <c r="D23" s="72">
        <f>IF(Data_Sheet!I32="s", "s", Data_Sheet!M32)</f>
        <v>122.34910277</v>
      </c>
      <c r="E23" s="71" t="str">
        <f>IF(Data_Sheet!I43="s", "s", Data_Sheet!L43)</f>
        <v>s</v>
      </c>
      <c r="F23" s="72" t="str">
        <f>IF(Data_Sheet!I43="s", "s", Data_Sheet!M43)</f>
        <v>s</v>
      </c>
      <c r="G23" s="11"/>
      <c r="H23" s="11"/>
      <c r="I23" s="11"/>
      <c r="J23" s="11"/>
      <c r="K23" s="11"/>
    </row>
    <row r="24" spans="1:11" ht="13.5" customHeight="1" x14ac:dyDescent="0.2">
      <c r="A24" s="18"/>
      <c r="B24" s="59" t="str">
        <f>Data_Sheet!C33</f>
        <v>Non-affiliated</v>
      </c>
      <c r="C24" s="62">
        <f>IF(Data_Sheet!I33="s", "s", Data_Sheet!L33)</f>
        <v>0</v>
      </c>
      <c r="D24" s="63">
        <f>IF(Data_Sheet!I33="s", "s", Data_Sheet!M33)</f>
        <v>1.2181759000000001E-7</v>
      </c>
      <c r="E24" s="62" t="str">
        <f>IF(Data_Sheet!I44="s", "s", Data_Sheet!L44)</f>
        <v>s</v>
      </c>
      <c r="F24" s="63" t="str">
        <f>IF(Data_Sheet!I44="s", "s", Data_Sheet!M44)</f>
        <v>s</v>
      </c>
      <c r="G24" s="11"/>
      <c r="H24" s="11"/>
      <c r="I24" s="11"/>
      <c r="J24" s="11"/>
      <c r="K24" s="11"/>
    </row>
    <row r="25" spans="1:11" ht="13.5" customHeight="1" x14ac:dyDescent="0.2">
      <c r="A25" s="18"/>
      <c r="B25" s="48" t="s">
        <v>152</v>
      </c>
      <c r="C25" s="93">
        <f>IF(Data_Sheet!I34="s", "s", Data_Sheet!L34)</f>
        <v>170</v>
      </c>
      <c r="D25" s="94">
        <f>IF(Data_Sheet!I34="s", "s", Data_Sheet!M34)</f>
        <v>91.076145014999994</v>
      </c>
      <c r="E25" s="93">
        <f>IF(Data_Sheet!I45="s", "s", Data_Sheet!L45)</f>
        <v>50</v>
      </c>
      <c r="F25" s="94">
        <f>IF(Data_Sheet!I45="s", "s", Data_Sheet!M45)</f>
        <v>54.887754542000003</v>
      </c>
      <c r="G25" s="11"/>
      <c r="H25" s="11"/>
      <c r="I25" s="11"/>
      <c r="J25" s="11"/>
      <c r="K25" s="11"/>
    </row>
    <row r="26" spans="1:11" x14ac:dyDescent="0.2">
      <c r="A26" s="11"/>
      <c r="B26" s="49"/>
      <c r="C26" s="46"/>
      <c r="D26" s="47"/>
      <c r="E26" s="44"/>
      <c r="F26" s="45"/>
      <c r="G26" s="11"/>
      <c r="H26" s="11"/>
      <c r="I26" s="11"/>
      <c r="J26" s="11"/>
      <c r="K26" s="11"/>
    </row>
    <row r="27" spans="1:11" ht="15" x14ac:dyDescent="0.25">
      <c r="B27" s="20" t="s">
        <v>125</v>
      </c>
      <c r="E27"/>
      <c r="F27"/>
      <c r="G27"/>
    </row>
    <row r="28" spans="1:11" x14ac:dyDescent="0.2">
      <c r="B28" s="5" t="s">
        <v>121</v>
      </c>
    </row>
  </sheetData>
  <mergeCells count="8">
    <mergeCell ref="E14:F14"/>
    <mergeCell ref="E5:F5"/>
    <mergeCell ref="I5:J5"/>
    <mergeCell ref="B4:B5"/>
    <mergeCell ref="G5:H5"/>
    <mergeCell ref="C5:D5"/>
    <mergeCell ref="B13:B14"/>
    <mergeCell ref="C14:D14"/>
  </mergeCells>
  <pageMargins left="0.7" right="0.7" top="0.75" bottom="0.75" header="0.3" footer="0.3"/>
  <pageSetup scale="88" orientation="landscape" r:id="rId1"/>
  <headerFooter alignWithMargins="0"/>
  <ignoredErrors>
    <ignoredError sqref="C7:D7" calculatedColum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7030A0"/>
  </sheetPr>
  <dimension ref="B2:G46"/>
  <sheetViews>
    <sheetView workbookViewId="0"/>
  </sheetViews>
  <sheetFormatPr defaultRowHeight="15" x14ac:dyDescent="0.25"/>
  <cols>
    <col min="2" max="2" width="24" bestFit="1" customWidth="1"/>
    <col min="3" max="3" width="18.140625" bestFit="1" customWidth="1"/>
    <col min="4" max="4" width="139.5703125" style="2" bestFit="1" customWidth="1"/>
  </cols>
  <sheetData>
    <row r="2" spans="2:4" s="2" customFormat="1" ht="15.75" thickBot="1" x14ac:dyDescent="0.3">
      <c r="B2" s="26" t="s">
        <v>100</v>
      </c>
    </row>
    <row r="3" spans="2:4" x14ac:dyDescent="0.25">
      <c r="B3" s="21"/>
      <c r="C3" s="40" t="s">
        <v>80</v>
      </c>
      <c r="D3" s="41" t="s">
        <v>101</v>
      </c>
    </row>
    <row r="4" spans="2:4" x14ac:dyDescent="0.25">
      <c r="B4" s="22" t="str">
        <f>orig_rha!$AX$4</f>
        <v>FN_ON_sign</v>
      </c>
      <c r="C4" s="23">
        <f>COUNTIF(orig_rha!$AX$5:$BC$10, "c")</f>
        <v>0</v>
      </c>
      <c r="D4" s="24" t="str">
        <f>IF(C4&gt;0, "1 - The difference between this area's First Nations On-Reserve rate and the average First Nations On-Reserve rate was statistically significant (p&lt;0.01).","")</f>
        <v/>
      </c>
    </row>
    <row r="5" spans="2:4" x14ac:dyDescent="0.25">
      <c r="B5" s="22" t="str">
        <f>orig_rha!$AY$4</f>
        <v>FN_OFF_sign</v>
      </c>
      <c r="C5" s="23">
        <f>COUNTIF(orig_rha!$AX$5:$BC$10, "d")</f>
        <v>0</v>
      </c>
      <c r="D5" s="24" t="str">
        <f>IF(C5&gt;0, "2 - The difference between this area's First Nations Off-Reserve rate and the average First Nations Off-Reserve rate was statistically significant (p&lt;0.01).","")</f>
        <v/>
      </c>
    </row>
    <row r="6" spans="2:4" x14ac:dyDescent="0.25">
      <c r="B6" s="22" t="str">
        <f>orig_rha!$AZ$4</f>
        <v>FN_sign</v>
      </c>
      <c r="C6" s="23">
        <f>COUNTIF(orig_rha!$AX$5:$BC$10, "e")</f>
        <v>0</v>
      </c>
      <c r="D6" s="24" t="str">
        <f>IF(C6&gt;0, "3 - The difference between this area's First Nations rate and the average First Nations rate was statistically significant (p&lt;0.01).","")</f>
        <v/>
      </c>
    </row>
    <row r="7" spans="2:4" x14ac:dyDescent="0.25">
      <c r="B7" s="22" t="str">
        <f>orig_rha!$BA$4</f>
        <v>AOMB_sign</v>
      </c>
      <c r="C7" s="23">
        <f>COUNTIF(orig_rha!$AX$5:$BC$10, "f")</f>
        <v>2</v>
      </c>
      <c r="D7" s="24" t="str">
        <f>IF(C7&gt;0, "4 - The difference between this area's All Other Manitobans rate and the average All Other Manitobans rate was statistically significant (p&lt;0.01).","")</f>
        <v>4 - The difference between this area's All Other Manitobans rate and the average All Other Manitobans rate was statistically significant (p&lt;0.01).</v>
      </c>
    </row>
    <row r="8" spans="2:4" x14ac:dyDescent="0.25">
      <c r="B8" s="22" t="str">
        <f>orig_rha!$BB$4</f>
        <v>FNvsAOMB_sign</v>
      </c>
      <c r="C8" s="23">
        <f>COUNTIF(orig_rha!$AX$5:$BC$10, "b")</f>
        <v>4</v>
      </c>
      <c r="D8" s="24" t="str">
        <f>IF(C8&gt;0, "5 - The difference between this area's First Nations rate and this area’s All Other Manitobans rate was statistically significant (p&lt;0.01).","")</f>
        <v>5 - The difference between this area's First Nations rate and this area’s All Other Manitobans rate was statistically significant (p&lt;0.01).</v>
      </c>
    </row>
    <row r="9" spans="2:4" x14ac:dyDescent="0.25">
      <c r="B9" s="22" t="str">
        <f>orig_rha!$BC$4</f>
        <v>ONvsOFF_sign</v>
      </c>
      <c r="C9" s="23">
        <f>COUNTIF(orig_rha!$AX$5:$BC$10, "a")</f>
        <v>0</v>
      </c>
      <c r="D9" s="24" t="str">
        <f>IF(C9&gt;0, "6 - The difference between this area's First Nations On-Reserve rate and this area’s First Nations Off-Reserve rate was statistically significant (p&lt;0.01).","")</f>
        <v/>
      </c>
    </row>
    <row r="10" spans="2:4" x14ac:dyDescent="0.25">
      <c r="B10" s="22" t="s">
        <v>83</v>
      </c>
      <c r="C10" s="23">
        <f>COUNTIF(Data_Sheet!$L$5:$O$10,"s")</f>
        <v>2</v>
      </c>
      <c r="D10" s="24" t="str">
        <f>IF(C10&gt;0,"s – Data suppressed due to small numbers","")</f>
        <v>s – Data suppressed due to small numbers</v>
      </c>
    </row>
    <row r="11" spans="2:4" ht="105.75" thickBot="1" x14ac:dyDescent="0.3">
      <c r="B11" s="102" t="s">
        <v>102</v>
      </c>
      <c r="C11" s="103"/>
      <c r="D11" s="27" t="str">
        <f>CONCATENATE(D4,CHAR(10),D5,CHAR(10),D6,CHAR(10),D7,CHAR(10),D8,CHAR(10),D9,CHAR(10),D10)</f>
        <v xml:space="preserve">
4 - The difference between this area's All Other Manitobans rate and the average All Other Manitobans rate was statistically significant (p&lt;0.01).
5 - The difference between this area's First Nations rate and this area’s All Other Manitobans rate was statistically significant (p&lt;0.01).
s – Data suppressed due to small numbers</v>
      </c>
    </row>
    <row r="13" spans="2:4" ht="15.75" hidden="1" thickBot="1" x14ac:dyDescent="0.3">
      <c r="B13" s="26" t="s">
        <v>104</v>
      </c>
    </row>
    <row r="14" spans="2:4" hidden="1" x14ac:dyDescent="0.25">
      <c r="B14" s="21"/>
      <c r="C14" s="40" t="s">
        <v>80</v>
      </c>
      <c r="D14" s="41" t="s">
        <v>101</v>
      </c>
    </row>
    <row r="15" spans="2:4" s="2" customFormat="1" hidden="1" x14ac:dyDescent="0.25">
      <c r="B15" s="22" t="str">
        <f>orig_treaty!R4</f>
        <v>BM_sign</v>
      </c>
      <c r="C15" s="23">
        <f>COUNTIF(orig_treaty!$R$6:$R$11,"b")</f>
        <v>5</v>
      </c>
      <c r="D15" s="24" t="str">
        <f>IF(C15&gt;0,"† - The difference between this area’s rate and the lowest/highest First Nations On-Reserve rate (Treaty Area X) was statistically significant (p&lt;0.01).","")</f>
        <v>† - The difference between this area’s rate and the lowest/highest First Nations On-Reserve rate (Treaty Area X) was statistically significant (p&lt;0.01).</v>
      </c>
    </row>
    <row r="16" spans="2:4" s="2" customFormat="1" hidden="1" x14ac:dyDescent="0.25">
      <c r="B16" s="22" t="str">
        <f>orig_treaty!S4</f>
        <v>treaty_ONvsFNON_suppress</v>
      </c>
      <c r="C16" s="23">
        <f>COUNTIF(orig_treaty!$S$6:$S$11,"s")</f>
        <v>0</v>
      </c>
      <c r="D16" s="24" t="str">
        <f>IF(C16&gt;0,"s – Data suppressed due to small numbers","")</f>
        <v/>
      </c>
    </row>
    <row r="17" spans="2:7" s="2" customFormat="1" ht="45.75" hidden="1" thickBot="1" x14ac:dyDescent="0.3">
      <c r="B17" s="102" t="s">
        <v>102</v>
      </c>
      <c r="C17" s="103"/>
      <c r="D17" s="25" t="str">
        <f>CONCATENATE(CHAR(10),D15,CHAR(10),D16)</f>
        <v xml:space="preserve">
† - The difference between this area’s rate and the lowest/highest First Nations On-Reserve rate (Treaty Area X) was statistically significant (p&lt;0.01).
</v>
      </c>
    </row>
    <row r="18" spans="2:7" x14ac:dyDescent="0.25">
      <c r="B18" s="55"/>
      <c r="C18" s="55"/>
      <c r="D18" s="55"/>
      <c r="E18" s="61" t="s">
        <v>212</v>
      </c>
      <c r="F18" s="61"/>
      <c r="G18" s="61"/>
    </row>
    <row r="19" spans="2:7" s="2" customFormat="1" ht="15.75" thickBot="1" x14ac:dyDescent="0.3">
      <c r="B19" s="26" t="s">
        <v>105</v>
      </c>
      <c r="C19" s="26" t="s">
        <v>236</v>
      </c>
    </row>
    <row r="20" spans="2:7" s="2" customFormat="1" x14ac:dyDescent="0.25">
      <c r="B20" s="21"/>
      <c r="C20" s="40" t="s">
        <v>80</v>
      </c>
      <c r="D20" s="41" t="s">
        <v>103</v>
      </c>
    </row>
    <row r="21" spans="2:7" s="2" customFormat="1" x14ac:dyDescent="0.25">
      <c r="B21" s="22" t="str">
        <f>orig_tribal!K4</f>
        <v>bm_tribal</v>
      </c>
      <c r="C21" s="74">
        <f>COUNTIF(orig_tribal!$K$5:$K$14,1)</f>
        <v>1</v>
      </c>
      <c r="D21" s="73"/>
    </row>
    <row r="22" spans="2:7" s="2" customFormat="1" x14ac:dyDescent="0.25">
      <c r="B22" s="22" t="str">
        <f>orig_tribal!K4</f>
        <v>bm_tribal</v>
      </c>
      <c r="C22" s="74">
        <f>COUNTIF(orig_tribal!$K$16:$K$25,1)</f>
        <v>1</v>
      </c>
      <c r="D22" s="73"/>
    </row>
    <row r="23" spans="2:7" s="2" customFormat="1" x14ac:dyDescent="0.25">
      <c r="B23" s="22" t="s">
        <v>235</v>
      </c>
      <c r="C23" s="23">
        <f>COUNTIF(orig_tribal!$U$5:$U$14,"b")</f>
        <v>0</v>
      </c>
      <c r="D23" s="24" t="str">
        <f>IF(C23&gt;0,"† - The difference between this area’s rate and the lowest/highest First Nations On-Reserve rate (Tribal Council) was statistically significant (p&lt;0.01).","")</f>
        <v/>
      </c>
    </row>
    <row r="24" spans="2:7" s="2" customFormat="1" x14ac:dyDescent="0.25">
      <c r="B24" s="22" t="s">
        <v>234</v>
      </c>
      <c r="C24" s="23">
        <f>COUNTIF(orig_tribal!$U$16:$U$25,"b")</f>
        <v>0</v>
      </c>
      <c r="D24" s="24" t="str">
        <f>IF(C24&gt;0,"‡ - The difference between this area’s rate and the lowest/highest First Nations Off-Reserve rate (Tribal Council) was statistically significant (p&lt;0.01).","")</f>
        <v/>
      </c>
    </row>
    <row r="25" spans="2:7" s="2" customFormat="1" x14ac:dyDescent="0.25">
      <c r="B25" s="22" t="str">
        <f>orig_tribal!V4</f>
        <v>tribal_ONvsOFF_sign</v>
      </c>
      <c r="C25" s="23">
        <f>COUNTIF(orig_tribal!$V$5:$V$14,"d")</f>
        <v>0</v>
      </c>
      <c r="D25" s="24" t="str">
        <f>IF(C25&gt;0,"§ - The difference between this area’s First Nations On-Reserve and Off-Reserve rate was statistically significant (p&lt;0.01).","")</f>
        <v/>
      </c>
    </row>
    <row r="26" spans="2:7" s="2" customFormat="1" x14ac:dyDescent="0.25">
      <c r="B26" s="42" t="str">
        <f>orig_tribal!Y4</f>
        <v>tribal_ONvsOFF_suppress</v>
      </c>
      <c r="C26" s="23">
        <f>COUNTIF(orig_tribal!$Y$5:$Y$25,"s")</f>
        <v>6</v>
      </c>
      <c r="D26" s="24" t="str">
        <f>IF(C26&gt;0,"s – Data suppressed due to small numbers","")</f>
        <v>s – Data suppressed due to small numbers</v>
      </c>
    </row>
    <row r="27" spans="2:7" s="2" customFormat="1" ht="75.75" thickBot="1" x14ac:dyDescent="0.3">
      <c r="B27" s="102" t="s">
        <v>102</v>
      </c>
      <c r="C27" s="103"/>
      <c r="D27" s="25" t="str">
        <f>CONCATENATE(CHAR(10),D23,CHAR(10),D24,CHAR(10),D25,CHAR(10),D26)</f>
        <v xml:space="preserve">
s – Data suppressed due to small numbers</v>
      </c>
    </row>
    <row r="29" spans="2:7" ht="15.75" thickBot="1" x14ac:dyDescent="0.3">
      <c r="B29" s="26" t="s">
        <v>237</v>
      </c>
    </row>
    <row r="30" spans="2:7" x14ac:dyDescent="0.25">
      <c r="B30" s="21"/>
      <c r="C30" s="40" t="s">
        <v>80</v>
      </c>
      <c r="D30" s="41" t="s">
        <v>101</v>
      </c>
    </row>
    <row r="31" spans="2:7" x14ac:dyDescent="0.25">
      <c r="B31" s="22" t="str">
        <f>CONCATENATE(orig_income!$B$8," ",orig_income!$C$8," ",orig_income!$P$4)</f>
        <v>Urban Q1 FN_OFF_sign</v>
      </c>
      <c r="C31" s="23" t="str">
        <f>IF(orig_income!$P$8="o","1",0)</f>
        <v>1</v>
      </c>
      <c r="D31" s="24" t="str">
        <f>IF(C31&gt;0, "1 - The difference between the Urban Off-Reserve First Nations rate and the All Other Manitobans Lowest Urban rate was statistically significant (p&lt;0.01).","")</f>
        <v>1 - The difference between the Urban Off-Reserve First Nations rate and the All Other Manitobans Lowest Urban rate was statistically significant (p&lt;0.01).</v>
      </c>
    </row>
    <row r="32" spans="2:7" x14ac:dyDescent="0.25">
      <c r="B32" s="22" t="str">
        <f>CONCATENATE(orig_income!$B$12," ",orig_income!$C$12," ",orig_income!$P$4)</f>
        <v>Urban Q5 FN_OFF_sign</v>
      </c>
      <c r="C32" s="23" t="str">
        <f>IF(orig_income!$P$12="o","2",0)</f>
        <v>2</v>
      </c>
      <c r="D32" s="24" t="str">
        <f>IF(C32&gt;0, "2 - The difference between the Urban Off-Reserve First Nations rate and the All Other Manitobans Highest Urban rate was statistically significant (p&lt;0.01).","")</f>
        <v>2 - The difference between the Urban Off-Reserve First Nations rate and the All Other Manitobans Highest Urban rate was statistically significant (p&lt;0.01).</v>
      </c>
    </row>
    <row r="33" spans="2:4" x14ac:dyDescent="0.25">
      <c r="B33" s="22" t="str">
        <f>CONCATENATE(orig_income!$B$13," ",orig_income!$C$13," ",orig_income!$O$4)</f>
        <v>Rural Q1 FN_ON_sign</v>
      </c>
      <c r="C33" s="23" t="str">
        <f>IF(orig_income!$O$13="r","3",0)</f>
        <v>3</v>
      </c>
      <c r="D33" s="24" t="str">
        <f>IF(C33&gt;0, "3 - The difference between the Rural On-Reserve First Nations rate and the All Other Manitobans Lowest Rural rate was statistically significant (p&lt;0.01).","")</f>
        <v>3 - The difference between the Rural On-Reserve First Nations rate and the All Other Manitobans Lowest Rural rate was statistically significant (p&lt;0.01).</v>
      </c>
    </row>
    <row r="34" spans="2:4" x14ac:dyDescent="0.25">
      <c r="B34" s="22" t="str">
        <f>CONCATENATE(orig_income!$B$17," ",orig_income!$C$17," ",orig_income!$O$4)</f>
        <v>Rural Q5 FN_ON_sign</v>
      </c>
      <c r="C34" s="23" t="str">
        <f>IF(orig_income!$O$17="r","4",0)</f>
        <v>4</v>
      </c>
      <c r="D34" s="24" t="str">
        <f>IF(C34&gt;0, "4 - The difference between the Rural On-Reserve First Nations rate and the All Other Manitobans Highest Rural rate was statistically significant (p&lt;0.01).","")</f>
        <v>4 - The difference between the Rural On-Reserve First Nations rate and the All Other Manitobans Highest Rural rate was statistically significant (p&lt;0.01).</v>
      </c>
    </row>
    <row r="35" spans="2:4" x14ac:dyDescent="0.25">
      <c r="B35" s="22" t="str">
        <f>CONCATENATE(orig_income!$B$13," ",orig_income!$C$13," ",orig_income!$P$4)</f>
        <v>Rural Q1 FN_OFF_sign</v>
      </c>
      <c r="C35" s="23">
        <f>IF(orig_income!$P$13="o","5",0)</f>
        <v>0</v>
      </c>
      <c r="D35" s="24" t="str">
        <f>IF(C35&gt;0, "5 - The difference between the Rural Off-Reserve First Nations rate and the All Other Manitobans Lowest Rural rate was statistically significant (p&lt;0.01).","")</f>
        <v/>
      </c>
    </row>
    <row r="36" spans="2:4" x14ac:dyDescent="0.25">
      <c r="B36" s="22" t="str">
        <f>CONCATENATE(orig_income!$B$17," ",orig_income!$C$17," ",orig_income!$P$4)</f>
        <v>Rural Q5 FN_OFF_sign</v>
      </c>
      <c r="C36" s="23">
        <f>IF(orig_income!$P$17="o","6",0)</f>
        <v>0</v>
      </c>
      <c r="D36" s="24" t="str">
        <f>IF(C36&gt;0, "6 - The difference between the Rural Off-Reserve First Nations rate and the All Other Manitobans Highest Rural rate was statistically significant (p&lt;0.01).","")</f>
        <v/>
      </c>
    </row>
    <row r="37" spans="2:4" x14ac:dyDescent="0.25">
      <c r="B37" s="22" t="s">
        <v>83</v>
      </c>
      <c r="C37" s="23">
        <f>IF(OR(orig_income!$Q$5="s",orig_income!$Q$6="s",orig_income!$Q$7="s",orig_income!$Q$8="s",orig_income!$Q$12="s",orig_income!$Q$13="s",orig_income!$Q$12="s",orig_income!$Q$17="s"),1,0)</f>
        <v>0</v>
      </c>
      <c r="D37" s="24" t="str">
        <f>IF(C37&gt;0,"s – Data suppressed due to small numbers","")</f>
        <v/>
      </c>
    </row>
    <row r="38" spans="2:4" ht="119.25" customHeight="1" thickBot="1" x14ac:dyDescent="0.3">
      <c r="B38" s="102" t="s">
        <v>102</v>
      </c>
      <c r="C38" s="103"/>
      <c r="D38" s="27" t="str">
        <f>CONCATENATE(D31,CHAR(10),D32,CHAR(10),D33,CHAR(10),D34,CHAR(10),D35,CHAR(10),D36,CHAR(10),D37)</f>
        <v xml:space="preserve">1 - The difference between the Urban Off-Reserve First Nations rate and the All Other Manitobans Lowest Urban rate was statistically significant (p&lt;0.01).
2 - The difference between the Urban Off-Reserve First Nations rate and the All Other Manitobans Highest Urban rate was statistically significant (p&lt;0.01).
3 - The difference between the Rural On-Reserve First Nations rate and the All Other Manitobans Lowest Rural rate was statistically significant (p&lt;0.01).
4 - The difference between the Rural On-Reserve First Nations rate and the All Other Manitobans Highest Rural rate was statistically significant (p&lt;0.01).
</v>
      </c>
    </row>
    <row r="40" spans="2:4" s="2" customFormat="1" ht="15.75" thickBot="1" x14ac:dyDescent="0.3">
      <c r="B40" s="26" t="s">
        <v>238</v>
      </c>
    </row>
    <row r="41" spans="2:4" s="2" customFormat="1" x14ac:dyDescent="0.25">
      <c r="B41" s="21"/>
      <c r="C41" s="40" t="s">
        <v>80</v>
      </c>
      <c r="D41" s="41" t="s">
        <v>101</v>
      </c>
    </row>
    <row r="42" spans="2:4" s="2" customFormat="1" x14ac:dyDescent="0.25">
      <c r="B42" s="22" t="str">
        <f>CONCATENATE(orig_income!$B$8," ",orig_income!$C$8," ",orig_income!$P$4)</f>
        <v>Urban Q1 FN_OFF_sign</v>
      </c>
      <c r="C42" s="23" t="str">
        <f>IF(orig_income!$P$8="o","1",0)</f>
        <v>1</v>
      </c>
      <c r="D42" s="24" t="str">
        <f>IF(C42&gt;0, "1 - The difference between the Urban Off-Reserve First Nations rate and the All Other Manitobans Lowest Urban rate was statistically significant (p&lt;0.01).","")</f>
        <v>1 - The difference between the Urban Off-Reserve First Nations rate and the All Other Manitobans Lowest Urban rate was statistically significant (p&lt;0.01).</v>
      </c>
    </row>
    <row r="43" spans="2:4" s="2" customFormat="1" x14ac:dyDescent="0.25">
      <c r="B43" s="22" t="str">
        <f>CONCATENATE(orig_income!$B$13," ",orig_income!$C$13," ",orig_income!$O$4)</f>
        <v>Rural Q1 FN_ON_sign</v>
      </c>
      <c r="C43" s="23" t="str">
        <f>IF(orig_income!$O$13="r","3",0)</f>
        <v>3</v>
      </c>
      <c r="D43" s="24" t="str">
        <f>IF(C43&gt;0, "2 - The difference between the Rural On-Reserve First Nations rate and the All Other Manitobans Lowest Rural rate was statistically significant (p&lt;0.01).","")</f>
        <v>2 - The difference between the Rural On-Reserve First Nations rate and the All Other Manitobans Lowest Rural rate was statistically significant (p&lt;0.01).</v>
      </c>
    </row>
    <row r="44" spans="2:4" s="2" customFormat="1" x14ac:dyDescent="0.25">
      <c r="B44" s="22" t="str">
        <f>CONCATENATE(orig_income!$B$13," ",orig_income!$C$13," ",orig_income!$P$4)</f>
        <v>Rural Q1 FN_OFF_sign</v>
      </c>
      <c r="C44" s="23">
        <f>IF(orig_income!$P$13="o","5",0)</f>
        <v>0</v>
      </c>
      <c r="D44" s="24" t="str">
        <f>IF(C44&gt;0, "3 - The difference between the Rural Off-Reserve First Nations rate and the All Other Manitobans Lowest Rural rate was statistically significant (p&lt;0.01).","")</f>
        <v/>
      </c>
    </row>
    <row r="45" spans="2:4" s="2" customFormat="1" x14ac:dyDescent="0.25">
      <c r="B45" s="22" t="s">
        <v>83</v>
      </c>
      <c r="C45" s="23">
        <f>IF(OR(orig_income!$Q$5="s",orig_income!$Q$6="s",orig_income!$Q$7="s",orig_income!$Q$8="s",orig_income!$Q$12="s",orig_income!$Q$13="s",orig_income!$Q$12="s",orig_income!$Q$17="s"),1,0)</f>
        <v>0</v>
      </c>
      <c r="D45" s="24" t="str">
        <f>IF(C45&gt;0,"s – Data suppressed due to small numbers","")</f>
        <v/>
      </c>
    </row>
    <row r="46" spans="2:4" s="2" customFormat="1" ht="119.25" customHeight="1" thickBot="1" x14ac:dyDescent="0.3">
      <c r="B46" s="102" t="s">
        <v>102</v>
      </c>
      <c r="C46" s="103"/>
      <c r="D46" s="27" t="str">
        <f>CONCATENATE(D42,CHAR(10),D43,CHAR(10),D44,CHAR(10),D45)</f>
        <v xml:space="preserve">1 - The difference between the Urban Off-Reserve First Nations rate and the All Other Manitobans Lowest Urban rate was statistically significant (p&lt;0.01).
2 - The difference between the Rural On-Reserve First Nations rate and the All Other Manitobans Lowest Rural rate was statistically significant (p&lt;0.01).
</v>
      </c>
    </row>
  </sheetData>
  <mergeCells count="5">
    <mergeCell ref="B11:C11"/>
    <mergeCell ref="B17:C17"/>
    <mergeCell ref="B38:C38"/>
    <mergeCell ref="B46:C46"/>
    <mergeCell ref="B27:C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</sheetPr>
  <dimension ref="A1:BV63"/>
  <sheetViews>
    <sheetView topLeftCell="I1" workbookViewId="0">
      <selection activeCell="S9" sqref="S9"/>
    </sheetView>
  </sheetViews>
  <sheetFormatPr defaultColWidth="9.140625" defaultRowHeight="15" x14ac:dyDescent="0.25"/>
  <cols>
    <col min="1" max="1" width="21.42578125" style="29" customWidth="1"/>
    <col min="2" max="3" width="26.85546875" style="29" customWidth="1"/>
    <col min="4" max="4" width="8.85546875" style="29" customWidth="1"/>
    <col min="5" max="5" width="8.7109375" style="29" customWidth="1"/>
    <col min="6" max="6" width="18.28515625" style="29" customWidth="1"/>
    <col min="7" max="7" width="16.7109375" style="29" customWidth="1"/>
    <col min="8" max="8" width="19.85546875" style="29" customWidth="1"/>
    <col min="9" max="9" width="13.140625" style="29" customWidth="1"/>
    <col min="10" max="10" width="16.5703125" style="29" customWidth="1"/>
    <col min="11" max="11" width="13.140625" style="29" customWidth="1"/>
    <col min="12" max="13" width="14.42578125" style="29" customWidth="1"/>
    <col min="14" max="15" width="17" style="29" customWidth="1"/>
    <col min="16" max="16" width="26.7109375" style="29" customWidth="1"/>
    <col min="17" max="17" width="27.7109375" style="29" customWidth="1"/>
    <col min="18" max="18" width="29.85546875" style="29" customWidth="1"/>
    <col min="19" max="19" width="20" style="29" customWidth="1"/>
    <col min="20" max="21" width="18" style="29" customWidth="1"/>
    <col min="22" max="34" width="15.28515625" style="29" customWidth="1"/>
    <col min="35" max="16384" width="9.140625" style="29"/>
  </cols>
  <sheetData>
    <row r="1" spans="1:74" s="31" customFormat="1" x14ac:dyDescent="0.25">
      <c r="A1" s="50" t="s">
        <v>162</v>
      </c>
      <c r="D1" s="31" t="s">
        <v>123</v>
      </c>
      <c r="L1" s="31" t="s">
        <v>2</v>
      </c>
      <c r="P1" s="31" t="s">
        <v>113</v>
      </c>
      <c r="Q1" s="31" t="s">
        <v>114</v>
      </c>
      <c r="U1" s="31" t="s">
        <v>115</v>
      </c>
      <c r="Y1" s="31" t="s">
        <v>116</v>
      </c>
      <c r="AC1" s="31" t="s">
        <v>119</v>
      </c>
    </row>
    <row r="2" spans="1:74" x14ac:dyDescent="0.25">
      <c r="B2" s="31" t="s">
        <v>122</v>
      </c>
      <c r="D2" s="32" t="s">
        <v>1</v>
      </c>
      <c r="E2" s="32"/>
      <c r="F2" s="32" t="s">
        <v>154</v>
      </c>
      <c r="G2" s="32" t="s">
        <v>155</v>
      </c>
      <c r="H2" s="32" t="s">
        <v>156</v>
      </c>
      <c r="I2" s="32" t="s">
        <v>157</v>
      </c>
      <c r="J2" s="32" t="s">
        <v>158</v>
      </c>
      <c r="K2" s="32" t="s">
        <v>58</v>
      </c>
      <c r="Q2" s="31" t="s">
        <v>67</v>
      </c>
      <c r="R2" s="31" t="s">
        <v>69</v>
      </c>
      <c r="S2" s="31" t="s">
        <v>93</v>
      </c>
      <c r="T2" s="31" t="s">
        <v>74</v>
      </c>
      <c r="U2" s="31" t="s">
        <v>144</v>
      </c>
      <c r="V2" s="31" t="s">
        <v>153</v>
      </c>
      <c r="W2" s="31" t="s">
        <v>159</v>
      </c>
      <c r="X2" s="31" t="s">
        <v>160</v>
      </c>
      <c r="Y2" s="31" t="s">
        <v>67</v>
      </c>
      <c r="Z2" s="31" t="s">
        <v>69</v>
      </c>
      <c r="AA2" s="31" t="s">
        <v>93</v>
      </c>
      <c r="AB2" s="31" t="s">
        <v>112</v>
      </c>
      <c r="AC2" s="31" t="s">
        <v>67</v>
      </c>
      <c r="AD2" s="31" t="s">
        <v>69</v>
      </c>
      <c r="AE2" s="31" t="s">
        <v>68</v>
      </c>
      <c r="AF2" s="31" t="s">
        <v>112</v>
      </c>
      <c r="BA2" s="33"/>
      <c r="BB2" s="33"/>
      <c r="BC2" s="33"/>
      <c r="BD2" s="33"/>
      <c r="BE2" s="33"/>
      <c r="BF2" s="33"/>
      <c r="BG2" s="33"/>
      <c r="BH2" s="33"/>
      <c r="BI2" s="33"/>
      <c r="BJ2" s="33"/>
      <c r="BM2" s="33"/>
      <c r="BN2" s="33"/>
      <c r="BO2" s="33"/>
      <c r="BP2" s="33"/>
      <c r="BQ2" s="33"/>
      <c r="BR2" s="33"/>
      <c r="BS2" s="33"/>
      <c r="BT2" s="33"/>
      <c r="BU2" s="33"/>
      <c r="BV2" s="33"/>
    </row>
    <row r="3" spans="1:74" x14ac:dyDescent="0.25">
      <c r="F3" s="29" t="str">
        <f>orig_rha!AX4</f>
        <v>FN_ON_sign</v>
      </c>
      <c r="G3" s="29" t="str">
        <f>orig_rha!AY4</f>
        <v>FN_OFF_sign</v>
      </c>
      <c r="H3" s="29" t="str">
        <f>orig_rha!AZ4</f>
        <v>FN_sign</v>
      </c>
      <c r="I3" s="29" t="str">
        <f>orig_rha!BA4</f>
        <v>AOMB_sign</v>
      </c>
      <c r="J3" s="29" t="str">
        <f>orig_rha!BB4</f>
        <v>FNvsAOMB_sign</v>
      </c>
      <c r="K3" s="29" t="str">
        <f>orig_rha!BC4</f>
        <v>ONvsOFF_sign</v>
      </c>
      <c r="L3" s="29" t="str">
        <f>orig_rha!BD4</f>
        <v>FN_ON_suppress</v>
      </c>
      <c r="M3" s="29" t="str">
        <f>orig_rha!BE4</f>
        <v>FN_OFF_suppress</v>
      </c>
      <c r="N3" s="29" t="str">
        <f>orig_rha!BF4</f>
        <v>FN_suppress</v>
      </c>
      <c r="O3" s="29" t="str">
        <f>orig_rha!BG4</f>
        <v>AOMB_suppress</v>
      </c>
      <c r="Q3" s="29" t="str">
        <f>orig_rha!$E$4</f>
        <v>FN_ON_adj_rate</v>
      </c>
      <c r="R3" s="29" t="str">
        <f>orig_rha!$O$4</f>
        <v>FN_OFF_adj_rate</v>
      </c>
      <c r="S3" s="29" t="str">
        <f>orig_rha!$Y$4</f>
        <v>FN_adj_rate</v>
      </c>
      <c r="T3" s="29" t="str">
        <f>orig_rha!$AI$4</f>
        <v>AOMB_adj_rate</v>
      </c>
      <c r="Y3" s="29" t="str">
        <f>orig_rha!B4</f>
        <v>FN_ON_child_mortality</v>
      </c>
      <c r="Z3" s="29" t="str">
        <f>orig_rha!L4</f>
        <v>FN_OFF_child_mortality</v>
      </c>
      <c r="AA3" s="29" t="str">
        <f>orig_rha!V4</f>
        <v>FN_child_mortality</v>
      </c>
      <c r="AB3" s="29" t="str">
        <f>orig_rha!AF4</f>
        <v>AOMB_child_mortality</v>
      </c>
      <c r="AC3" s="29" t="str">
        <f>orig_rha!D4</f>
        <v>FN_ON_crd_rate</v>
      </c>
      <c r="AD3" s="29" t="str">
        <f>orig_rha!N4</f>
        <v>FN_OFF_crd_rate</v>
      </c>
      <c r="AE3" s="29" t="str">
        <f>orig_rha!X4</f>
        <v>FN_crd_rate</v>
      </c>
      <c r="AF3" s="29" t="str">
        <f>orig_rha!AH4</f>
        <v>AOMB_crd_rate</v>
      </c>
    </row>
    <row r="4" spans="1:74" x14ac:dyDescent="0.25">
      <c r="A4" s="29" t="s">
        <v>72</v>
      </c>
      <c r="B4" s="29" t="str">
        <f>CONCATENATE(C4,," ",E4)</f>
        <v>Southern Health-Santé Sud (4)</v>
      </c>
      <c r="C4" s="29" t="s">
        <v>94</v>
      </c>
      <c r="D4" s="29" t="str">
        <f>CONCATENATE("(",F4,",",G4,",",H4,",",I4,",",J4,",",K4,")")</f>
        <v>(,,,4,,)</v>
      </c>
      <c r="E4" s="29" t="str">
        <f>SUBSTITUTE(SUBSTITUTE(SUBSTITUTE(SUBSTITUTE(SUBSTITUTE(SUBSTITUTE(SUBSTITUTE(SUBSTITUTE(SUBSTITUTE(SUBSTITUTE(D4,"(,,,,,,)",""),"(,,,,,)",""),"(,,,,)",""),"(,,,)",""),"(,,","("),",,)",")"),",,,",","),",,",","),",)",")"),"(,","(")</f>
        <v>(4)</v>
      </c>
      <c r="F4" s="29" t="str">
        <f>IF(orig_rha!AX5="c","1","")</f>
        <v/>
      </c>
      <c r="G4" s="29" t="str">
        <f>IF(orig_rha!AY5="d","2","")</f>
        <v/>
      </c>
      <c r="H4" s="29" t="str">
        <f>IF(orig_rha!AZ5="e","3","")</f>
        <v/>
      </c>
      <c r="I4" s="29" t="str">
        <f>IF(orig_rha!BA5="f","4","")</f>
        <v>4</v>
      </c>
      <c r="J4" s="29" t="str">
        <f>IF(orig_rha!BB5="b","5","")</f>
        <v/>
      </c>
      <c r="K4" s="29" t="str">
        <f>IF(orig_rha!BC5="a","6","")</f>
        <v/>
      </c>
      <c r="L4" s="29" t="str">
        <f>orig_rha!BD5</f>
        <v xml:space="preserve"> </v>
      </c>
      <c r="M4" s="29" t="str">
        <f>orig_rha!BE5</f>
        <v>s</v>
      </c>
      <c r="N4" s="29" t="str">
        <f>orig_rha!BF5</f>
        <v xml:space="preserve"> </v>
      </c>
      <c r="O4" s="29" t="str">
        <f>orig_rha!BG5</f>
        <v xml:space="preserve"> </v>
      </c>
      <c r="P4" s="29" t="str">
        <f t="shared" ref="P4:P9" si="0">C4</f>
        <v>Southern Health-Santé Sud</v>
      </c>
      <c r="Q4" s="29">
        <f>orig_rha!E5</f>
        <v>61.589390928999997</v>
      </c>
      <c r="R4" s="29" t="str">
        <f>orig_rha!O5</f>
        <v xml:space="preserve"> </v>
      </c>
      <c r="S4" s="29">
        <f>orig_rha!Y5</f>
        <v>50.448410412999998</v>
      </c>
      <c r="T4" s="29">
        <f>orig_rha!AI5</f>
        <v>24.849252215</v>
      </c>
      <c r="U4" s="29">
        <f t="shared" ref="U4:U9" si="1">$Q$9</f>
        <v>85.393617887000005</v>
      </c>
      <c r="V4" s="29">
        <f t="shared" ref="V4:V9" si="2">$R$9</f>
        <v>48.803765536</v>
      </c>
      <c r="W4" s="29">
        <f t="shared" ref="W4:W9" si="3">$S$9</f>
        <v>72.798365958999995</v>
      </c>
      <c r="X4" s="29">
        <f t="shared" ref="X4:X9" si="4">$T$9</f>
        <v>16.910417232</v>
      </c>
      <c r="Y4" s="35">
        <f>IF(L4="s","s",orig_rha!B5)</f>
        <v>12</v>
      </c>
      <c r="Z4" s="35" t="str">
        <f>IF(M4="s","s",orig_rha!L5)</f>
        <v>s</v>
      </c>
      <c r="AA4" s="35">
        <f>IF(N4="s","s",orig_rha!V5)</f>
        <v>13</v>
      </c>
      <c r="AB4" s="35">
        <f>IF(O4="s","s",orig_rha!AF5)</f>
        <v>71</v>
      </c>
      <c r="AC4" s="35">
        <f>IF(L4="s","s",orig_rha!D5)</f>
        <v>66.046562827000002</v>
      </c>
      <c r="AD4" s="35" t="str">
        <f>IF(M4="s","s",orig_rha!N5)</f>
        <v>s</v>
      </c>
      <c r="AE4" s="35">
        <f>IF(N4="s","s",orig_rha!X5)</f>
        <v>53.928482535000001</v>
      </c>
      <c r="AF4" s="35">
        <f>IF(O4="s","s",orig_rha!AH5)</f>
        <v>27.485076764999999</v>
      </c>
      <c r="AI4" s="29" t="s">
        <v>72</v>
      </c>
      <c r="AJ4" s="29" t="s">
        <v>94</v>
      </c>
    </row>
    <row r="5" spans="1:74" x14ac:dyDescent="0.25">
      <c r="B5" s="29" t="str">
        <f t="shared" ref="B5:B9" si="5">CONCATENATE(C5,," ",E5)</f>
        <v>Winnipeg RHA (5)</v>
      </c>
      <c r="C5" s="29" t="s">
        <v>95</v>
      </c>
      <c r="D5" s="29" t="str">
        <f t="shared" ref="D5:D9" si="6">CONCATENATE("(",F5,",",G5,",",H5,",",I5,",",J5,",",K5,")")</f>
        <v>(,,,,5,)</v>
      </c>
      <c r="E5" s="29" t="str">
        <f t="shared" ref="E5:E9" si="7">SUBSTITUTE(SUBSTITUTE(SUBSTITUTE(SUBSTITUTE(SUBSTITUTE(SUBSTITUTE(SUBSTITUTE(SUBSTITUTE(SUBSTITUTE(SUBSTITUTE(D5,"(,,,,,,)",""),"(,,,,,)",""),"(,,,,)",""),"(,,,)",""),"(,,","("),",,)",")"),",,,",","),",,",","),",)",")"),"(,","(")</f>
        <v>(5)</v>
      </c>
      <c r="F5" s="29" t="str">
        <f>IF(orig_rha!AX6="c","1","")</f>
        <v/>
      </c>
      <c r="G5" s="29" t="str">
        <f>IF(orig_rha!AY6="d","2","")</f>
        <v/>
      </c>
      <c r="H5" s="29" t="str">
        <f>IF(orig_rha!AZ6="e","3","")</f>
        <v/>
      </c>
      <c r="I5" s="29" t="str">
        <f>IF(orig_rha!BA6="f","4","")</f>
        <v/>
      </c>
      <c r="J5" s="29" t="str">
        <f>IF(orig_rha!BB6="b","5","")</f>
        <v>5</v>
      </c>
      <c r="K5" s="29" t="str">
        <f>IF(orig_rha!BC6="a","6","")</f>
        <v/>
      </c>
      <c r="L5" s="29" t="str">
        <f>orig_rha!BD6</f>
        <v xml:space="preserve"> </v>
      </c>
      <c r="M5" s="29" t="str">
        <f>orig_rha!BE6</f>
        <v xml:space="preserve"> </v>
      </c>
      <c r="N5" s="29" t="str">
        <f>orig_rha!BF6</f>
        <v xml:space="preserve"> </v>
      </c>
      <c r="O5" s="29" t="str">
        <f>orig_rha!BG6</f>
        <v xml:space="preserve"> </v>
      </c>
      <c r="P5" s="29" t="str">
        <f t="shared" si="0"/>
        <v>Winnipeg RHA</v>
      </c>
      <c r="Q5" s="29" t="str">
        <f>orig_rha!E6</f>
        <v xml:space="preserve"> </v>
      </c>
      <c r="R5" s="29">
        <f>orig_rha!O6</f>
        <v>49.443824186999997</v>
      </c>
      <c r="S5" s="29">
        <f>orig_rha!Y6</f>
        <v>49.443824186999997</v>
      </c>
      <c r="T5" s="29">
        <f>orig_rha!AI6</f>
        <v>13.017857202</v>
      </c>
      <c r="U5" s="29">
        <f t="shared" si="1"/>
        <v>85.393617887000005</v>
      </c>
      <c r="V5" s="29">
        <f t="shared" si="2"/>
        <v>48.803765536</v>
      </c>
      <c r="W5" s="29">
        <f t="shared" si="3"/>
        <v>72.798365958999995</v>
      </c>
      <c r="X5" s="29">
        <f t="shared" si="4"/>
        <v>16.910417232</v>
      </c>
      <c r="Y5" s="35" t="str">
        <f>IF(L5="s","s",orig_rha!B6)</f>
        <v xml:space="preserve"> </v>
      </c>
      <c r="Z5" s="35">
        <f>IF(M5="s","s",orig_rha!L6)</f>
        <v>28</v>
      </c>
      <c r="AA5" s="35">
        <f>IF(N5="s","s",orig_rha!V6)</f>
        <v>28</v>
      </c>
      <c r="AB5" s="35">
        <f>IF(O5="s","s",orig_rha!AF6)</f>
        <v>109</v>
      </c>
      <c r="AC5" s="35" t="str">
        <f>IF(L5="s","s",orig_rha!D6)</f>
        <v xml:space="preserve"> </v>
      </c>
      <c r="AD5" s="35">
        <f>IF(M5="s","s",orig_rha!N6)</f>
        <v>51.787596870999998</v>
      </c>
      <c r="AE5" s="35">
        <f>IF(N5="s","s",orig_rha!X6)</f>
        <v>51.787596870999998</v>
      </c>
      <c r="AF5" s="35">
        <f>IF(O5="s","s",orig_rha!AH6)</f>
        <v>14.932365971999999</v>
      </c>
      <c r="AJ5" s="29" t="s">
        <v>95</v>
      </c>
    </row>
    <row r="6" spans="1:74" x14ac:dyDescent="0.25">
      <c r="B6" s="29" t="str">
        <f t="shared" si="5"/>
        <v>Prairie Mountain Health  (5)</v>
      </c>
      <c r="C6" s="29" t="s">
        <v>66</v>
      </c>
      <c r="D6" s="29" t="str">
        <f t="shared" si="6"/>
        <v>(,,,,5,)</v>
      </c>
      <c r="E6" s="29" t="str">
        <f t="shared" si="7"/>
        <v>(5)</v>
      </c>
      <c r="F6" s="29" t="str">
        <f>IF(orig_rha!AX7="c","1","")</f>
        <v/>
      </c>
      <c r="G6" s="29" t="str">
        <f>IF(orig_rha!AY7="d","2","")</f>
        <v/>
      </c>
      <c r="H6" s="29" t="str">
        <f>IF(orig_rha!AZ7="e","3","")</f>
        <v/>
      </c>
      <c r="I6" s="29" t="str">
        <f>IF(orig_rha!BA7="f","4","")</f>
        <v/>
      </c>
      <c r="J6" s="29" t="str">
        <f>IF(orig_rha!BB7="b","5","")</f>
        <v>5</v>
      </c>
      <c r="K6" s="29" t="str">
        <f>IF(orig_rha!BC7="a","6","")</f>
        <v/>
      </c>
      <c r="L6" s="29" t="str">
        <f>orig_rha!BD7</f>
        <v xml:space="preserve"> </v>
      </c>
      <c r="M6" s="29" t="str">
        <f>orig_rha!BE7</f>
        <v>s</v>
      </c>
      <c r="N6" s="29" t="str">
        <f>orig_rha!BF7</f>
        <v xml:space="preserve"> </v>
      </c>
      <c r="O6" s="29" t="str">
        <f>orig_rha!BG7</f>
        <v xml:space="preserve"> </v>
      </c>
      <c r="P6" s="29" t="str">
        <f t="shared" si="0"/>
        <v xml:space="preserve">Prairie Mountain Health </v>
      </c>
      <c r="Q6" s="29">
        <f>orig_rha!E7</f>
        <v>74.037556558999995</v>
      </c>
      <c r="R6" s="29" t="str">
        <f>orig_rha!O7</f>
        <v xml:space="preserve"> </v>
      </c>
      <c r="S6" s="29">
        <f>orig_rha!Y7</f>
        <v>62.362997024000002</v>
      </c>
      <c r="T6" s="29">
        <f>orig_rha!AI7</f>
        <v>16.533016710999998</v>
      </c>
      <c r="U6" s="29">
        <f t="shared" si="1"/>
        <v>85.393617887000005</v>
      </c>
      <c r="V6" s="29">
        <f t="shared" si="2"/>
        <v>48.803765536</v>
      </c>
      <c r="W6" s="29">
        <f t="shared" si="3"/>
        <v>72.798365958999995</v>
      </c>
      <c r="X6" s="29">
        <f t="shared" si="4"/>
        <v>16.910417232</v>
      </c>
      <c r="Y6" s="35">
        <f>IF(L6="s","s",orig_rha!B7)</f>
        <v>15</v>
      </c>
      <c r="Z6" s="35" t="str">
        <f>IF(M6="s","s",orig_rha!L7)</f>
        <v>s</v>
      </c>
      <c r="AA6" s="35">
        <f>IF(N6="s","s",orig_rha!V7)</f>
        <v>20</v>
      </c>
      <c r="AB6" s="35">
        <f>IF(O6="s","s",orig_rha!AF7)</f>
        <v>31</v>
      </c>
      <c r="AC6" s="35">
        <f>IF(L6="s","s",orig_rha!D7)</f>
        <v>79.584040747000003</v>
      </c>
      <c r="AD6" s="35" t="str">
        <f>IF(M6="s","s",orig_rha!N7)</f>
        <v>s</v>
      </c>
      <c r="AE6" s="35">
        <f>IF(N6="s","s",orig_rha!X7)</f>
        <v>66.777963271999994</v>
      </c>
      <c r="AF6" s="35">
        <f>IF(O6="s","s",orig_rha!AH7)</f>
        <v>18.355033720000002</v>
      </c>
      <c r="AJ6" s="29" t="s">
        <v>66</v>
      </c>
    </row>
    <row r="7" spans="1:74" x14ac:dyDescent="0.25">
      <c r="B7" s="29" t="str">
        <f t="shared" si="5"/>
        <v>Interlake-Eastern RHA (5)</v>
      </c>
      <c r="C7" s="29" t="s">
        <v>96</v>
      </c>
      <c r="D7" s="29" t="str">
        <f t="shared" si="6"/>
        <v>(,,,,5,)</v>
      </c>
      <c r="E7" s="29" t="str">
        <f t="shared" si="7"/>
        <v>(5)</v>
      </c>
      <c r="F7" s="29" t="str">
        <f>IF(orig_rha!AX8="c","1","")</f>
        <v/>
      </c>
      <c r="G7" s="29" t="str">
        <f>IF(orig_rha!AY8="d","2","")</f>
        <v/>
      </c>
      <c r="H7" s="29" t="str">
        <f>IF(orig_rha!AZ8="e","3","")</f>
        <v/>
      </c>
      <c r="I7" s="29" t="str">
        <f>IF(orig_rha!BA8="f","4","")</f>
        <v/>
      </c>
      <c r="J7" s="29" t="str">
        <f>IF(orig_rha!BB8="b","5","")</f>
        <v>5</v>
      </c>
      <c r="K7" s="29" t="str">
        <f>IF(orig_rha!BC8="a","6","")</f>
        <v/>
      </c>
      <c r="L7" s="29" t="str">
        <f>orig_rha!BD8</f>
        <v xml:space="preserve"> </v>
      </c>
      <c r="M7" s="29" t="str">
        <f>orig_rha!BE8</f>
        <v>s</v>
      </c>
      <c r="N7" s="29" t="str">
        <f>orig_rha!BF8</f>
        <v xml:space="preserve"> </v>
      </c>
      <c r="O7" s="29" t="str">
        <f>orig_rha!BG8</f>
        <v xml:space="preserve"> </v>
      </c>
      <c r="P7" s="29" t="str">
        <f t="shared" si="0"/>
        <v>Interlake-Eastern RHA</v>
      </c>
      <c r="Q7" s="29">
        <f>orig_rha!E8</f>
        <v>88.114010014000002</v>
      </c>
      <c r="R7" s="29" t="str">
        <f>orig_rha!O8</f>
        <v xml:space="preserve"> </v>
      </c>
      <c r="S7" s="29">
        <f>orig_rha!Y8</f>
        <v>82.038852575999996</v>
      </c>
      <c r="T7" s="29">
        <f>orig_rha!AI8</f>
        <v>16.463433042999998</v>
      </c>
      <c r="U7" s="29">
        <f t="shared" si="1"/>
        <v>85.393617887000005</v>
      </c>
      <c r="V7" s="29">
        <f t="shared" si="2"/>
        <v>48.803765536</v>
      </c>
      <c r="W7" s="29">
        <f t="shared" si="3"/>
        <v>72.798365958999995</v>
      </c>
      <c r="X7" s="29">
        <f t="shared" si="4"/>
        <v>16.910417232</v>
      </c>
      <c r="Y7" s="35">
        <f>IF(L7="s","s",orig_rha!B8)</f>
        <v>44</v>
      </c>
      <c r="Z7" s="35" t="str">
        <f>IF(M7="s","s",orig_rha!L8)</f>
        <v>s</v>
      </c>
      <c r="AA7" s="35">
        <f>IF(N7="s","s",orig_rha!V8)</f>
        <v>47</v>
      </c>
      <c r="AB7" s="35">
        <f>IF(O7="s","s",orig_rha!AF8)</f>
        <v>21</v>
      </c>
      <c r="AC7" s="35">
        <f>IF(L7="s","s",orig_rha!D8)</f>
        <v>95.942085868000007</v>
      </c>
      <c r="AD7" s="35" t="str">
        <f>IF(M7="s","s",orig_rha!N8)</f>
        <v>s</v>
      </c>
      <c r="AE7" s="35">
        <f>IF(N7="s","s",orig_rha!X8)</f>
        <v>89.617694728000004</v>
      </c>
      <c r="AF7" s="35">
        <f>IF(O7="s","s",orig_rha!AH8)</f>
        <v>19.151148157000002</v>
      </c>
      <c r="AJ7" s="29" t="s">
        <v>96</v>
      </c>
    </row>
    <row r="8" spans="1:74" x14ac:dyDescent="0.25">
      <c r="B8" s="29" t="str">
        <f t="shared" si="5"/>
        <v>Northern Health Region (5)</v>
      </c>
      <c r="C8" s="29" t="s">
        <v>97</v>
      </c>
      <c r="D8" s="29" t="str">
        <f t="shared" si="6"/>
        <v>(,,,,5,)</v>
      </c>
      <c r="E8" s="29" t="str">
        <f t="shared" si="7"/>
        <v>(5)</v>
      </c>
      <c r="F8" s="29" t="str">
        <f>IF(orig_rha!AX9="c","1","")</f>
        <v/>
      </c>
      <c r="G8" s="29" t="str">
        <f>IF(orig_rha!AY9="d","2","")</f>
        <v/>
      </c>
      <c r="H8" s="29" t="str">
        <f>IF(orig_rha!AZ9="e","3","")</f>
        <v/>
      </c>
      <c r="I8" s="29" t="str">
        <f>IF(orig_rha!BA9="f","4","")</f>
        <v/>
      </c>
      <c r="J8" s="29" t="str">
        <f>IF(orig_rha!BB9="b","5","")</f>
        <v>5</v>
      </c>
      <c r="K8" s="29" t="str">
        <f>IF(orig_rha!BC9="a","6","")</f>
        <v/>
      </c>
      <c r="L8" s="29" t="str">
        <f>orig_rha!BD9</f>
        <v xml:space="preserve"> </v>
      </c>
      <c r="M8" s="29" t="str">
        <f>orig_rha!BE9</f>
        <v xml:space="preserve"> </v>
      </c>
      <c r="N8" s="29" t="str">
        <f>orig_rha!BF9</f>
        <v xml:space="preserve"> </v>
      </c>
      <c r="O8" s="29" t="str">
        <f>orig_rha!BG9</f>
        <v xml:space="preserve"> </v>
      </c>
      <c r="P8" s="29" t="str">
        <f t="shared" si="0"/>
        <v>Northern Health Region</v>
      </c>
      <c r="Q8" s="29">
        <f>orig_rha!E9</f>
        <v>90.494477486999997</v>
      </c>
      <c r="R8" s="29">
        <f>orig_rha!O9</f>
        <v>59.700425500000001</v>
      </c>
      <c r="S8" s="29">
        <f>orig_rha!Y9</f>
        <v>86.405593651000004</v>
      </c>
      <c r="T8" s="29">
        <f>orig_rha!AI9</f>
        <v>28.844519283</v>
      </c>
      <c r="U8" s="29">
        <f t="shared" si="1"/>
        <v>85.393617887000005</v>
      </c>
      <c r="V8" s="29">
        <f t="shared" si="2"/>
        <v>48.803765536</v>
      </c>
      <c r="W8" s="29">
        <f t="shared" si="3"/>
        <v>72.798365958999995</v>
      </c>
      <c r="X8" s="29">
        <f t="shared" si="4"/>
        <v>16.910417232</v>
      </c>
      <c r="Y8" s="35">
        <f>IF(L8="s","s",orig_rha!B9)</f>
        <v>99</v>
      </c>
      <c r="Z8" s="35">
        <f>IF(M8="s","s",orig_rha!L9)</f>
        <v>10</v>
      </c>
      <c r="AA8" s="35">
        <f>IF(N8="s","s",orig_rha!V9)</f>
        <v>109</v>
      </c>
      <c r="AB8" s="35">
        <f>IF(O8="s","s",orig_rha!AF9)</f>
        <v>10</v>
      </c>
      <c r="AC8" s="35">
        <f>IF(L8="s","s",orig_rha!D9)</f>
        <v>95.395022114</v>
      </c>
      <c r="AD8" s="35">
        <f>IF(M8="s","s",orig_rha!N9)</f>
        <v>63.095463436000003</v>
      </c>
      <c r="AE8" s="35">
        <f>IF(N8="s","s",orig_rha!X9)</f>
        <v>91.115792288999998</v>
      </c>
      <c r="AF8" s="35">
        <f>IF(O8="s","s",orig_rha!AH9)</f>
        <v>32.041012496</v>
      </c>
      <c r="AJ8" s="29" t="s">
        <v>97</v>
      </c>
    </row>
    <row r="9" spans="1:74" s="34" customFormat="1" ht="15.75" thickBot="1" x14ac:dyDescent="0.3">
      <c r="A9" s="34" t="s">
        <v>3</v>
      </c>
      <c r="B9" s="34" t="str">
        <f t="shared" si="5"/>
        <v>Manitoba (5,6)</v>
      </c>
      <c r="C9" s="34" t="s">
        <v>0</v>
      </c>
      <c r="D9" s="34" t="str">
        <f t="shared" si="6"/>
        <v>(,,,,5,6)</v>
      </c>
      <c r="E9" s="34" t="str">
        <f t="shared" si="7"/>
        <v>(5,6)</v>
      </c>
      <c r="F9" s="34" t="str">
        <f>IF(orig_rha!AX11="c","1","")</f>
        <v/>
      </c>
      <c r="G9" s="34" t="str">
        <f>IF(orig_rha!AY11="d","2","")</f>
        <v/>
      </c>
      <c r="H9" s="34" t="str">
        <f>IF(orig_rha!AZ11="e","3","")</f>
        <v/>
      </c>
      <c r="I9" s="34" t="str">
        <f>IF(orig_rha!BA11="f","4","")</f>
        <v/>
      </c>
      <c r="J9" s="34" t="str">
        <f>IF(orig_rha!BB11="b","5","")</f>
        <v>5</v>
      </c>
      <c r="K9" s="34" t="str">
        <f>IF(orig_rha!BC11="a","6","")</f>
        <v>6</v>
      </c>
      <c r="L9" s="34" t="str">
        <f>orig_rha!BD11</f>
        <v xml:space="preserve"> </v>
      </c>
      <c r="M9" s="34" t="str">
        <f>orig_rha!BE11</f>
        <v xml:space="preserve"> </v>
      </c>
      <c r="N9" s="29" t="str">
        <f>orig_rha!BF11</f>
        <v xml:space="preserve"> </v>
      </c>
      <c r="O9" s="29" t="str">
        <f>orig_rha!BG11</f>
        <v xml:space="preserve"> </v>
      </c>
      <c r="P9" s="34" t="str">
        <f t="shared" si="0"/>
        <v>Manitoba</v>
      </c>
      <c r="Q9" s="34">
        <f>orig_rha!E11</f>
        <v>85.393617887000005</v>
      </c>
      <c r="R9" s="34">
        <f>orig_rha!O11</f>
        <v>48.803765536</v>
      </c>
      <c r="S9" s="34">
        <f>orig_rha!Y11</f>
        <v>72.798365958999995</v>
      </c>
      <c r="T9" s="34">
        <f>orig_rha!AI11</f>
        <v>16.910417232</v>
      </c>
      <c r="U9" s="34">
        <f t="shared" si="1"/>
        <v>85.393617887000005</v>
      </c>
      <c r="V9" s="34">
        <f t="shared" si="2"/>
        <v>48.803765536</v>
      </c>
      <c r="W9" s="34">
        <f t="shared" si="3"/>
        <v>72.798365958999995</v>
      </c>
      <c r="X9" s="34">
        <f t="shared" si="4"/>
        <v>16.910417232</v>
      </c>
      <c r="Y9" s="34">
        <f>IF(L9="s","s",orig_rha!B11)</f>
        <v>170</v>
      </c>
      <c r="Z9" s="34">
        <f>IF(M9="s","s",orig_rha!L11)</f>
        <v>51</v>
      </c>
      <c r="AA9" s="34">
        <f>IF(N9="s","s",orig_rha!V11)</f>
        <v>221</v>
      </c>
      <c r="AB9" s="34">
        <f>IF(O9="s","s",orig_rha!AF11)</f>
        <v>251</v>
      </c>
      <c r="AC9" s="34">
        <f>IF(L9="s","s",orig_rha!D11)</f>
        <v>91.076145014999994</v>
      </c>
      <c r="AD9" s="34">
        <f>IF(M9="s","s",orig_rha!N11)</f>
        <v>52.166975235999999</v>
      </c>
      <c r="AE9" s="34">
        <f>IF(N9="s","s",orig_rha!X11)</f>
        <v>77.701990015000007</v>
      </c>
      <c r="AF9" s="34">
        <f>IF(O9="s","s",orig_rha!AH11)</f>
        <v>19.197219692000001</v>
      </c>
      <c r="AI9" s="34" t="s">
        <v>3</v>
      </c>
      <c r="AJ9" s="34" t="s">
        <v>0</v>
      </c>
    </row>
    <row r="10" spans="1:74" x14ac:dyDescent="0.25">
      <c r="B10" s="29" t="str">
        <f>CONCATENATE(C10,," ",H10)</f>
        <v xml:space="preserve"> </v>
      </c>
      <c r="K10" s="29" t="s">
        <v>4</v>
      </c>
    </row>
    <row r="11" spans="1:74" x14ac:dyDescent="0.25">
      <c r="A11" s="50" t="s">
        <v>161</v>
      </c>
      <c r="B11" s="52"/>
      <c r="D11" s="31" t="s">
        <v>123</v>
      </c>
      <c r="E11" s="31"/>
      <c r="F11" s="31"/>
      <c r="G11" s="31"/>
      <c r="J11" s="31" t="s">
        <v>118</v>
      </c>
      <c r="K11" s="31" t="s">
        <v>117</v>
      </c>
      <c r="L11" s="31" t="s">
        <v>71</v>
      </c>
      <c r="M11" s="31" t="s">
        <v>70</v>
      </c>
      <c r="N11" s="29" t="s">
        <v>124</v>
      </c>
      <c r="X11" s="29" t="s">
        <v>70</v>
      </c>
    </row>
    <row r="12" spans="1:74" x14ac:dyDescent="0.25">
      <c r="B12" s="31" t="s">
        <v>122</v>
      </c>
      <c r="D12" s="32" t="s">
        <v>1</v>
      </c>
      <c r="E12" s="32"/>
      <c r="F12" s="32" t="s">
        <v>139</v>
      </c>
      <c r="G12" s="32" t="s">
        <v>140</v>
      </c>
      <c r="H12" s="32"/>
      <c r="I12" s="31" t="s">
        <v>2</v>
      </c>
      <c r="J12" s="31" t="s">
        <v>136</v>
      </c>
      <c r="K12" s="31" t="s">
        <v>144</v>
      </c>
      <c r="L12" s="31"/>
      <c r="M12" s="31" t="s">
        <v>144</v>
      </c>
    </row>
    <row r="13" spans="1:74" x14ac:dyDescent="0.25">
      <c r="A13" s="32"/>
      <c r="H13" s="33"/>
      <c r="I13" s="29" t="str">
        <f>orig_treaty!S4</f>
        <v>treaty_ONvsFNON_suppress</v>
      </c>
      <c r="J13" s="29" t="str">
        <f>orig_treaty!E4</f>
        <v>treaty_adj_rate</v>
      </c>
      <c r="L13" s="29" t="str">
        <f>orig_treaty!B4</f>
        <v>treaty_CIC</v>
      </c>
      <c r="M13" s="29" t="str">
        <f>orig_treaty!D4</f>
        <v>treaty_crd_rate</v>
      </c>
    </row>
    <row r="14" spans="1:74" x14ac:dyDescent="0.25">
      <c r="A14" s="29" t="s">
        <v>11</v>
      </c>
      <c r="B14" s="29" t="str">
        <f>CONCATENATE(C14,," ",E14)</f>
        <v xml:space="preserve">Treaty 10 </v>
      </c>
      <c r="C14" s="29" t="s">
        <v>7</v>
      </c>
      <c r="D14" s="29" t="str">
        <f>CONCATENATE("(",F14,",",G14,",",H14,")")</f>
        <v>(,,)</v>
      </c>
      <c r="E14" s="29" t="str">
        <f>SUBSTITUTE(SUBSTITUTE(SUBSTITUTE(SUBSTITUTE(SUBSTITUTE(SUBSTITUTE(SUBSTITUTE(D14,"(,,)",""),",,",","),"(,)",""),"(,,","("),",,)",")"),"(,","("),",)",")")</f>
        <v/>
      </c>
      <c r="G14" s="29" t="str">
        <f>IF(orig_treaty!R6="b","†","")</f>
        <v/>
      </c>
      <c r="H14" s="33"/>
      <c r="I14" s="29" t="str">
        <f>orig_treaty!S6</f>
        <v xml:space="preserve"> </v>
      </c>
      <c r="J14" s="29">
        <f>IF(I14="s","s",orig_treaty!E6)</f>
        <v>1.8242497624</v>
      </c>
      <c r="K14" s="29">
        <f t="shared" ref="K14:K20" si="8">$J$20</f>
        <v>12.134312689</v>
      </c>
      <c r="L14" s="35">
        <f>IF(I14="s","s",orig_treaty!B6)</f>
        <v>11</v>
      </c>
      <c r="M14" s="35">
        <f>IF(I14="s","s",orig_treaty!D6)</f>
        <v>1.824212272</v>
      </c>
    </row>
    <row r="15" spans="1:74" x14ac:dyDescent="0.25">
      <c r="B15" s="29" t="str">
        <f t="shared" ref="B15:B19" si="9">CONCATENATE(C15,," ",E15)</f>
        <v>Treaty 5 (†)</v>
      </c>
      <c r="C15" s="29" t="s">
        <v>10</v>
      </c>
      <c r="D15" s="29" t="str">
        <f t="shared" ref="D15:D19" si="10">CONCATENATE("(",F15,",",G15,",",H15,")")</f>
        <v>(,†,)</v>
      </c>
      <c r="E15" s="29" t="str">
        <f>SUBSTITUTE(SUBSTITUTE(SUBSTITUTE(SUBSTITUTE(SUBSTITUTE(SUBSTITUTE(SUBSTITUTE(D15,"(,,)",""),",,",","),"(,)",""),"(,,","("),",,)",")"),"(,","("),",)",")")</f>
        <v>(†)</v>
      </c>
      <c r="G15" s="29" t="str">
        <f>IF(orig_treaty!R7="b","†","")</f>
        <v>†</v>
      </c>
      <c r="H15" s="33"/>
      <c r="I15" s="29" t="str">
        <f>orig_treaty!S7</f>
        <v xml:space="preserve"> </v>
      </c>
      <c r="J15" s="29">
        <f>IF(I15="s","s",orig_treaty!E7)</f>
        <v>11.475378329</v>
      </c>
      <c r="K15" s="29">
        <f t="shared" si="8"/>
        <v>12.134312689</v>
      </c>
      <c r="L15" s="35">
        <f>IF(I15="s","s",orig_treaty!B7)</f>
        <v>2681</v>
      </c>
      <c r="M15" s="35">
        <f>IF(I15="s","s",orig_treaty!D7)</f>
        <v>11.551055579</v>
      </c>
    </row>
    <row r="16" spans="1:74" x14ac:dyDescent="0.25">
      <c r="B16" s="29" t="str">
        <f t="shared" si="9"/>
        <v>Treaty 4 (†)</v>
      </c>
      <c r="C16" s="29" t="s">
        <v>9</v>
      </c>
      <c r="D16" s="29" t="str">
        <f t="shared" si="10"/>
        <v>(,†,)</v>
      </c>
      <c r="E16" s="29" t="str">
        <f t="shared" ref="E16:E19" si="11">SUBSTITUTE(SUBSTITUTE(SUBSTITUTE(SUBSTITUTE(SUBSTITUTE(SUBSTITUTE(SUBSTITUTE(D16,"(,,)",""),",,",","),"(,)",""),"(,,","("),",,)",")"),"(,","("),",)",")")</f>
        <v>(†)</v>
      </c>
      <c r="G16" s="29" t="str">
        <f>IF(orig_treaty!R8="b","†","")</f>
        <v>†</v>
      </c>
      <c r="H16" s="33"/>
      <c r="I16" s="29" t="str">
        <f>orig_treaty!S8</f>
        <v xml:space="preserve"> </v>
      </c>
      <c r="J16" s="29">
        <f>IF(I16="s","s",orig_treaty!E8)</f>
        <v>12.607663541000001</v>
      </c>
      <c r="K16" s="29">
        <f t="shared" si="8"/>
        <v>12.134312689</v>
      </c>
      <c r="L16" s="35">
        <f>IF(I16="s","s",orig_treaty!B8)</f>
        <v>241</v>
      </c>
      <c r="M16" s="35">
        <f>IF(I16="s","s",orig_treaty!D8)</f>
        <v>12.684210525999999</v>
      </c>
    </row>
    <row r="17" spans="1:18" x14ac:dyDescent="0.25">
      <c r="B17" s="29" t="str">
        <f t="shared" si="9"/>
        <v>Treaty 1 (†)</v>
      </c>
      <c r="C17" s="29" t="s">
        <v>6</v>
      </c>
      <c r="D17" s="29" t="str">
        <f t="shared" si="10"/>
        <v>(,†,)</v>
      </c>
      <c r="E17" s="29" t="str">
        <f t="shared" si="11"/>
        <v>(†)</v>
      </c>
      <c r="G17" s="29" t="str">
        <f>IF(orig_treaty!R9="b","†","")</f>
        <v>†</v>
      </c>
      <c r="H17" s="33"/>
      <c r="I17" s="29" t="str">
        <f>orig_treaty!S9</f>
        <v xml:space="preserve"> </v>
      </c>
      <c r="J17" s="29">
        <f>IF(I17="s","s",orig_treaty!E9)</f>
        <v>14.330808101000001</v>
      </c>
      <c r="K17" s="29">
        <f t="shared" si="8"/>
        <v>12.134312689</v>
      </c>
      <c r="L17" s="35">
        <f>IF(I17="s","s",orig_treaty!B9)</f>
        <v>913</v>
      </c>
      <c r="M17" s="35">
        <f>IF(I17="s","s",orig_treaty!D9)</f>
        <v>14.494364185</v>
      </c>
    </row>
    <row r="18" spans="1:18" x14ac:dyDescent="0.25">
      <c r="B18" s="29" t="str">
        <f t="shared" si="9"/>
        <v>Treaty 2 (†)</v>
      </c>
      <c r="C18" s="29" t="s">
        <v>8</v>
      </c>
      <c r="D18" s="29" t="str">
        <f t="shared" si="10"/>
        <v>(,†,)</v>
      </c>
      <c r="E18" s="29" t="str">
        <f t="shared" si="11"/>
        <v>(†)</v>
      </c>
      <c r="G18" s="29" t="str">
        <f>IF(orig_treaty!R10="b","†","")</f>
        <v>†</v>
      </c>
      <c r="H18" s="33"/>
      <c r="I18" s="29" t="str">
        <f>orig_treaty!S10</f>
        <v xml:space="preserve"> </v>
      </c>
      <c r="J18" s="29">
        <f>IF(I18="s","s",orig_treaty!E10)</f>
        <v>13.472510433</v>
      </c>
      <c r="K18" s="29">
        <f t="shared" si="8"/>
        <v>12.134312689</v>
      </c>
      <c r="L18" s="35">
        <f>IF(I18="s","s",orig_treaty!B10)</f>
        <v>452</v>
      </c>
      <c r="M18" s="35">
        <f>IF(I18="s","s",orig_treaty!D10)</f>
        <v>13.436385255999999</v>
      </c>
    </row>
    <row r="19" spans="1:18" x14ac:dyDescent="0.25">
      <c r="B19" s="29" t="str">
        <f t="shared" si="9"/>
        <v>Dakota Nation (†)</v>
      </c>
      <c r="C19" s="29" t="s">
        <v>5</v>
      </c>
      <c r="D19" s="29" t="str">
        <f t="shared" si="10"/>
        <v>(,†,)</v>
      </c>
      <c r="E19" s="29" t="str">
        <f t="shared" si="11"/>
        <v>(†)</v>
      </c>
      <c r="G19" s="29" t="str">
        <f>IF(orig_treaty!R10="b","†","")</f>
        <v>†</v>
      </c>
      <c r="H19" s="33"/>
      <c r="I19" s="29" t="str">
        <f>orig_treaty!S11</f>
        <v xml:space="preserve"> </v>
      </c>
      <c r="J19" s="29">
        <f>IF(I19="s","s",orig_treaty!E11)</f>
        <v>11.908761275</v>
      </c>
      <c r="K19" s="29">
        <f t="shared" si="8"/>
        <v>12.134312689</v>
      </c>
      <c r="L19" s="35">
        <f>IF(I19="s","s",orig_treaty!B11)</f>
        <v>54</v>
      </c>
      <c r="M19" s="35">
        <f>IF(I19="s","s",orig_treaty!D11)</f>
        <v>11.842105263000001</v>
      </c>
    </row>
    <row r="20" spans="1:18" s="34" customFormat="1" ht="15.75" thickBot="1" x14ac:dyDescent="0.3">
      <c r="A20" s="34" t="s">
        <v>54</v>
      </c>
      <c r="B20" s="34" t="str">
        <f>C20</f>
        <v>First Nations On-Reserve Avg</v>
      </c>
      <c r="C20" s="34" t="s">
        <v>144</v>
      </c>
      <c r="D20" s="37" t="str">
        <f>IF(H20="1","(1)","")</f>
        <v/>
      </c>
      <c r="E20" s="37"/>
      <c r="F20" s="37"/>
      <c r="G20" s="37"/>
      <c r="H20" s="39"/>
      <c r="I20" s="39" t="str">
        <f>orig_treaty!S13</f>
        <v xml:space="preserve"> </v>
      </c>
      <c r="J20" s="34">
        <f>IF(I20="s","s",orig_treaty!E13)</f>
        <v>12.134312689</v>
      </c>
      <c r="K20" s="34">
        <f t="shared" si="8"/>
        <v>12.134312689</v>
      </c>
      <c r="L20" s="34">
        <f>IF(I20="s","s",orig_treaty!B13)</f>
        <v>4521</v>
      </c>
      <c r="M20" s="34">
        <f>IF(I20="s","s",orig_treaty!D13)</f>
        <v>12.218258473000001</v>
      </c>
    </row>
    <row r="21" spans="1:18" x14ac:dyDescent="0.25">
      <c r="J21" s="31" t="s">
        <v>149</v>
      </c>
      <c r="O21" s="31"/>
    </row>
    <row r="22" spans="1:18" x14ac:dyDescent="0.25">
      <c r="A22" s="51" t="s">
        <v>233</v>
      </c>
      <c r="B22" s="52"/>
      <c r="D22" s="31" t="s">
        <v>123</v>
      </c>
      <c r="E22" s="31"/>
      <c r="F22" s="31"/>
      <c r="G22" s="31"/>
      <c r="J22" s="31" t="s">
        <v>118</v>
      </c>
      <c r="K22" s="31" t="s">
        <v>117</v>
      </c>
      <c r="L22" s="31" t="s">
        <v>71</v>
      </c>
      <c r="M22" s="31" t="s">
        <v>70</v>
      </c>
      <c r="N22" s="29" t="s">
        <v>124</v>
      </c>
      <c r="O22" s="29" t="s">
        <v>124</v>
      </c>
      <c r="P22" s="65"/>
      <c r="Q22" s="31"/>
      <c r="R22" s="31"/>
    </row>
    <row r="23" spans="1:18" s="67" customFormat="1" ht="45" x14ac:dyDescent="0.25">
      <c r="B23" s="68" t="s">
        <v>122</v>
      </c>
      <c r="D23" s="69" t="s">
        <v>1</v>
      </c>
      <c r="E23" s="69"/>
      <c r="F23" s="69" t="s">
        <v>239</v>
      </c>
      <c r="G23" s="69" t="s">
        <v>213</v>
      </c>
      <c r="H23" s="69" t="s">
        <v>230</v>
      </c>
      <c r="I23" s="68" t="s">
        <v>2</v>
      </c>
      <c r="J23" s="68" t="s">
        <v>231</v>
      </c>
      <c r="K23" s="68" t="s">
        <v>232</v>
      </c>
      <c r="M23" s="68" t="s">
        <v>144</v>
      </c>
      <c r="O23" s="70"/>
      <c r="P23" s="70"/>
      <c r="R23" s="68"/>
    </row>
    <row r="24" spans="1:18" x14ac:dyDescent="0.25">
      <c r="A24" s="29" t="s">
        <v>151</v>
      </c>
      <c r="B24" s="29" t="str">
        <f t="shared" ref="B24:B33" si="12">CONCATENATE(C24,," ",E24)</f>
        <v xml:space="preserve">Interlake Reserves (IRTC) </v>
      </c>
      <c r="C24" s="29" t="s">
        <v>109</v>
      </c>
      <c r="D24" s="29" t="str">
        <f>CONCATENATE("(",G24,",",G35,",",H24,",",I24,")")</f>
        <v>(,,,)</v>
      </c>
      <c r="E24" s="29" t="str">
        <f>SUBSTITUTE(SUBSTITUTE(SUBSTITUTE(SUBSTITUTE(SUBSTITUTE(SUBSTITUTE(SUBSTITUTE(D24,"(,,,)",""),",,",","),"(,,)",""),"(,,","("),",,)",")"),"(,","("),",)",")")</f>
        <v/>
      </c>
      <c r="F24" s="29">
        <f>orig_tribal!K5</f>
        <v>1</v>
      </c>
      <c r="G24" s="29" t="str">
        <f>IF(orig_tribal!U5="b","†","")</f>
        <v/>
      </c>
      <c r="H24" s="33" t="str">
        <f>IF(orig_tribal!V5="d","§","")</f>
        <v/>
      </c>
      <c r="I24" s="29" t="str">
        <f>IF(orig_tribal!Y5="s", "s", "")</f>
        <v/>
      </c>
      <c r="J24" s="29">
        <f>orig_tribal!D5</f>
        <v>50.574380464000001</v>
      </c>
      <c r="K24" s="29">
        <f t="shared" ref="K24:K34" si="13">$J$34</f>
        <v>91.076145014999994</v>
      </c>
      <c r="L24" s="29">
        <f>orig_tribal!B5</f>
        <v>7</v>
      </c>
      <c r="M24" s="29">
        <f>orig_tribal!D5</f>
        <v>50.574380464000001</v>
      </c>
      <c r="O24" s="33"/>
      <c r="P24" s="33"/>
    </row>
    <row r="25" spans="1:18" x14ac:dyDescent="0.25">
      <c r="A25" s="36"/>
      <c r="B25" s="29" t="str">
        <f t="shared" si="12"/>
        <v xml:space="preserve">West Region (WRTC) </v>
      </c>
      <c r="C25" s="29" t="s">
        <v>111</v>
      </c>
      <c r="D25" s="29" t="str">
        <f t="shared" ref="D25:D33" si="14">CONCATENATE("(",G25,",",G36,",",H25,",",I25,")")</f>
        <v>(,,,)</v>
      </c>
      <c r="E25" s="29" t="str">
        <f t="shared" ref="E25:E33" si="15">SUBSTITUTE(SUBSTITUTE(SUBSTITUTE(SUBSTITUTE(SUBSTITUTE(SUBSTITUTE(SUBSTITUTE(D25,"(,,,)",""),",,",","),"(,,)",""),"(,,","("),",,)",")"),"(,","("),",)",")")</f>
        <v/>
      </c>
      <c r="F25" s="29" t="str">
        <f>orig_tribal!K10</f>
        <v xml:space="preserve"> </v>
      </c>
      <c r="G25" s="29" t="str">
        <f>IF(orig_tribal!U10="b","†","")</f>
        <v/>
      </c>
      <c r="H25" s="33" t="str">
        <f>IF(orig_tribal!V10="d","§","")</f>
        <v/>
      </c>
      <c r="I25" s="29" t="str">
        <f>IF(orig_tribal!Y10="s", "s", "")</f>
        <v/>
      </c>
      <c r="J25" s="29">
        <f>orig_tribal!D10</f>
        <v>105.12483573999999</v>
      </c>
      <c r="K25" s="29">
        <f t="shared" si="13"/>
        <v>91.076145014999994</v>
      </c>
      <c r="L25" s="29">
        <f>orig_tribal!B10</f>
        <v>12</v>
      </c>
      <c r="M25" s="29">
        <f>orig_tribal!D10</f>
        <v>105.12483573999999</v>
      </c>
      <c r="O25" s="33"/>
      <c r="P25" s="33"/>
    </row>
    <row r="26" spans="1:18" x14ac:dyDescent="0.25">
      <c r="B26" s="29" t="str">
        <f t="shared" si="12"/>
        <v xml:space="preserve">Independent-North </v>
      </c>
      <c r="C26" s="29" t="s">
        <v>12</v>
      </c>
      <c r="D26" s="29" t="str">
        <f t="shared" si="14"/>
        <v>(,,,)</v>
      </c>
      <c r="E26" s="29" t="str">
        <f t="shared" si="15"/>
        <v/>
      </c>
      <c r="F26" s="29" t="str">
        <f>orig_tribal!K8</f>
        <v xml:space="preserve"> </v>
      </c>
      <c r="G26" s="29" t="str">
        <f>IF(orig_tribal!U8="b","†","")</f>
        <v/>
      </c>
      <c r="H26" s="33" t="str">
        <f>IF(orig_tribal!V8="d","§","")</f>
        <v/>
      </c>
      <c r="I26" s="29" t="str">
        <f>IF(orig_tribal!Y8="s", "s", "")</f>
        <v/>
      </c>
      <c r="J26" s="29">
        <f>orig_tribal!D8</f>
        <v>75.225677031000004</v>
      </c>
      <c r="K26" s="29">
        <f t="shared" si="13"/>
        <v>91.076145014999994</v>
      </c>
      <c r="L26" s="29">
        <f>orig_tribal!B8</f>
        <v>30</v>
      </c>
      <c r="M26" s="29">
        <f>orig_tribal!D8</f>
        <v>75.225677031000004</v>
      </c>
      <c r="O26" s="33"/>
      <c r="P26" s="33"/>
    </row>
    <row r="27" spans="1:18" x14ac:dyDescent="0.25">
      <c r="A27" s="36"/>
      <c r="B27" s="29" t="str">
        <f t="shared" si="12"/>
        <v xml:space="preserve">Swampy Cree (SCTC) </v>
      </c>
      <c r="C27" s="29" t="s">
        <v>108</v>
      </c>
      <c r="D27" s="29" t="str">
        <f t="shared" si="14"/>
        <v>(,,,)</v>
      </c>
      <c r="E27" s="29" t="str">
        <f t="shared" si="15"/>
        <v/>
      </c>
      <c r="F27" s="29" t="str">
        <f>orig_tribal!K6</f>
        <v xml:space="preserve"> </v>
      </c>
      <c r="G27" s="29" t="str">
        <f>IF(orig_tribal!U6="b","†","")</f>
        <v/>
      </c>
      <c r="H27" s="33" t="str">
        <f>IF(orig_tribal!V6="d","§","")</f>
        <v/>
      </c>
      <c r="I27" s="29" t="str">
        <f>IF(orig_tribal!Y6="s", "s", "")</f>
        <v/>
      </c>
      <c r="J27" s="29">
        <f>orig_tribal!D6</f>
        <v>72.050102533</v>
      </c>
      <c r="K27" s="29">
        <f t="shared" si="13"/>
        <v>91.076145014999994</v>
      </c>
      <c r="L27" s="29">
        <f>orig_tribal!B6</f>
        <v>13</v>
      </c>
      <c r="M27" s="29">
        <f>orig_tribal!D6</f>
        <v>72.050102533</v>
      </c>
      <c r="O27" s="33"/>
      <c r="P27" s="33"/>
    </row>
    <row r="28" spans="1:18" x14ac:dyDescent="0.25">
      <c r="A28" s="36"/>
      <c r="B28" s="29" t="str">
        <f t="shared" si="12"/>
        <v xml:space="preserve">Keewatin (KTC) </v>
      </c>
      <c r="C28" s="29" t="s">
        <v>106</v>
      </c>
      <c r="D28" s="29" t="str">
        <f t="shared" si="14"/>
        <v>(,,,)</v>
      </c>
      <c r="E28" s="29" t="str">
        <f t="shared" si="15"/>
        <v/>
      </c>
      <c r="F28" s="29" t="str">
        <f>orig_tribal!K7</f>
        <v xml:space="preserve"> </v>
      </c>
      <c r="G28" s="29" t="str">
        <f>IF(orig_tribal!U7="b","†","")</f>
        <v/>
      </c>
      <c r="H28" s="33" t="str">
        <f>IF(orig_tribal!V7="d","§","")</f>
        <v/>
      </c>
      <c r="I28" s="29" t="str">
        <f>IF(orig_tribal!Y7="s", "s", "")</f>
        <v/>
      </c>
      <c r="J28" s="29">
        <f>orig_tribal!D7</f>
        <v>109.43682128</v>
      </c>
      <c r="K28" s="29">
        <f t="shared" si="13"/>
        <v>91.076145014999994</v>
      </c>
      <c r="L28" s="29">
        <f>orig_tribal!B7</f>
        <v>26</v>
      </c>
      <c r="M28" s="29">
        <f>orig_tribal!D7</f>
        <v>109.43682128</v>
      </c>
      <c r="O28" s="33"/>
      <c r="P28" s="33"/>
    </row>
    <row r="29" spans="1:18" x14ac:dyDescent="0.25">
      <c r="B29" s="29" t="str">
        <f t="shared" si="12"/>
        <v xml:space="preserve">Independent-South </v>
      </c>
      <c r="C29" s="29" t="s">
        <v>13</v>
      </c>
      <c r="D29" s="29" t="str">
        <f t="shared" si="14"/>
        <v>(,,,)</v>
      </c>
      <c r="E29" s="29" t="str">
        <f t="shared" si="15"/>
        <v/>
      </c>
      <c r="F29" s="29" t="str">
        <f>orig_tribal!K9</f>
        <v xml:space="preserve"> </v>
      </c>
      <c r="G29" s="29" t="str">
        <f>IF(orig_tribal!U9="b","†","")</f>
        <v/>
      </c>
      <c r="H29" s="33" t="str">
        <f>IF(orig_tribal!V9="d","§","")</f>
        <v/>
      </c>
      <c r="I29" s="29" t="str">
        <f>IF(orig_tribal!Y9="s", "s", "")</f>
        <v/>
      </c>
      <c r="J29" s="29">
        <f>orig_tribal!D9</f>
        <v>83.806331186999998</v>
      </c>
      <c r="K29" s="29">
        <f t="shared" si="13"/>
        <v>91.076145014999994</v>
      </c>
      <c r="L29" s="29">
        <f>orig_tribal!B9</f>
        <v>22</v>
      </c>
      <c r="M29" s="29">
        <f>orig_tribal!D9</f>
        <v>83.806331186999998</v>
      </c>
      <c r="O29" s="33"/>
      <c r="P29" s="33"/>
    </row>
    <row r="30" spans="1:18" x14ac:dyDescent="0.25">
      <c r="A30" s="36"/>
      <c r="B30" s="29" t="str">
        <f t="shared" si="12"/>
        <v xml:space="preserve">Dakota Ojibway TC (DOTC) </v>
      </c>
      <c r="C30" s="29" t="s">
        <v>110</v>
      </c>
      <c r="D30" s="29" t="str">
        <f t="shared" si="14"/>
        <v>(,,,)</v>
      </c>
      <c r="E30" s="29" t="str">
        <f t="shared" si="15"/>
        <v/>
      </c>
      <c r="F30" s="29" t="str">
        <f>orig_tribal!K13</f>
        <v xml:space="preserve"> </v>
      </c>
      <c r="G30" s="29" t="str">
        <f>IF(orig_tribal!U13="b","†","")</f>
        <v/>
      </c>
      <c r="H30" s="33" t="str">
        <f>IF(orig_tribal!V13="d","§","")</f>
        <v/>
      </c>
      <c r="I30" s="29" t="str">
        <f>IF(orig_tribal!Y13="s", "s", "")</f>
        <v/>
      </c>
      <c r="J30" s="29">
        <f>orig_tribal!D13</f>
        <v>84.706607114999997</v>
      </c>
      <c r="K30" s="29">
        <f t="shared" si="13"/>
        <v>91.076145014999994</v>
      </c>
      <c r="L30" s="29">
        <f>orig_tribal!B13</f>
        <v>11</v>
      </c>
      <c r="M30" s="29">
        <f>orig_tribal!D13</f>
        <v>84.706607114999997</v>
      </c>
      <c r="O30" s="33"/>
      <c r="P30" s="33"/>
    </row>
    <row r="31" spans="1:18" x14ac:dyDescent="0.25">
      <c r="A31" s="36"/>
      <c r="B31" s="29" t="str">
        <f t="shared" si="12"/>
        <v xml:space="preserve">Southeast (SERDC) </v>
      </c>
      <c r="C31" s="29" t="s">
        <v>150</v>
      </c>
      <c r="D31" s="29" t="str">
        <f t="shared" si="14"/>
        <v>(,,,)</v>
      </c>
      <c r="E31" s="29" t="str">
        <f t="shared" si="15"/>
        <v/>
      </c>
      <c r="F31" s="29" t="str">
        <f>orig_tribal!K12</f>
        <v xml:space="preserve"> </v>
      </c>
      <c r="G31" s="29" t="str">
        <f>IF(orig_tribal!U12="b","†","")</f>
        <v/>
      </c>
      <c r="H31" s="33" t="str">
        <f>IF(orig_tribal!V12="d","§","")</f>
        <v/>
      </c>
      <c r="I31" s="29" t="str">
        <f>IF(orig_tribal!Y12="s", "s", "")</f>
        <v/>
      </c>
      <c r="J31" s="29">
        <f>orig_tribal!D12</f>
        <v>125.68631342</v>
      </c>
      <c r="K31" s="29">
        <f t="shared" si="13"/>
        <v>91.076145014999994</v>
      </c>
      <c r="L31" s="29">
        <f>orig_tribal!B12</f>
        <v>19</v>
      </c>
      <c r="M31" s="29">
        <f>orig_tribal!D12</f>
        <v>125.68631342</v>
      </c>
      <c r="O31" s="33"/>
      <c r="P31" s="33"/>
    </row>
    <row r="32" spans="1:18" x14ac:dyDescent="0.25">
      <c r="A32" s="36"/>
      <c r="B32" s="29" t="str">
        <f t="shared" si="12"/>
        <v xml:space="preserve">Island Lake (ILTC) </v>
      </c>
      <c r="C32" s="29" t="s">
        <v>107</v>
      </c>
      <c r="D32" s="29" t="str">
        <f t="shared" si="14"/>
        <v>(,,,)</v>
      </c>
      <c r="E32" s="29" t="str">
        <f t="shared" si="15"/>
        <v/>
      </c>
      <c r="F32" s="29" t="str">
        <f>orig_tribal!K11</f>
        <v xml:space="preserve"> </v>
      </c>
      <c r="G32" s="29" t="str">
        <f>IF(orig_tribal!U11="b","†","")</f>
        <v/>
      </c>
      <c r="H32" s="33" t="str">
        <f>IF(orig_tribal!V11="d","§","")</f>
        <v/>
      </c>
      <c r="I32" s="29" t="str">
        <f>IF(orig_tribal!Y11="s", "s", "")</f>
        <v/>
      </c>
      <c r="J32" s="29">
        <f>orig_tribal!D11</f>
        <v>122.34910277</v>
      </c>
      <c r="K32" s="29">
        <f t="shared" si="13"/>
        <v>91.076145014999994</v>
      </c>
      <c r="L32" s="29">
        <f>orig_tribal!B11</f>
        <v>30</v>
      </c>
      <c r="M32" s="29">
        <f>orig_tribal!D11</f>
        <v>122.34910277</v>
      </c>
      <c r="O32" s="33"/>
      <c r="P32" s="33"/>
    </row>
    <row r="33" spans="1:16" x14ac:dyDescent="0.25">
      <c r="A33" s="29" t="s">
        <v>54</v>
      </c>
      <c r="B33" s="29" t="str">
        <f t="shared" si="12"/>
        <v xml:space="preserve">Non-affiliated </v>
      </c>
      <c r="C33" s="29" t="s">
        <v>73</v>
      </c>
      <c r="D33" s="29" t="str">
        <f t="shared" si="14"/>
        <v>(,,,)</v>
      </c>
      <c r="E33" s="29" t="str">
        <f t="shared" si="15"/>
        <v/>
      </c>
      <c r="F33" s="29" t="str">
        <f>orig_tribal!K14</f>
        <v xml:space="preserve"> </v>
      </c>
      <c r="G33" s="29" t="str">
        <f>IF(orig_tribal!U14="b","†","")</f>
        <v/>
      </c>
      <c r="H33" s="33" t="str">
        <f>IF(orig_tribal!V14="d","§","")</f>
        <v/>
      </c>
      <c r="I33" s="29" t="str">
        <f>IF(orig_tribal!Y14="s", "s", "")</f>
        <v/>
      </c>
      <c r="J33" s="29">
        <f>orig_tribal!D14</f>
        <v>1.2181759000000001E-7</v>
      </c>
      <c r="K33" s="29">
        <f t="shared" si="13"/>
        <v>91.076145014999994</v>
      </c>
      <c r="L33" s="29">
        <f>orig_tribal!B14</f>
        <v>0</v>
      </c>
      <c r="M33" s="29">
        <f>orig_tribal!D14</f>
        <v>1.2181759000000001E-7</v>
      </c>
      <c r="O33" s="33"/>
      <c r="P33" s="33"/>
    </row>
    <row r="34" spans="1:16" s="34" customFormat="1" ht="15.75" thickBot="1" x14ac:dyDescent="0.3">
      <c r="A34" s="34" t="s">
        <v>54</v>
      </c>
      <c r="B34" s="34" t="str">
        <f>C34</f>
        <v>First Nations On-Reserve Avg</v>
      </c>
      <c r="C34" s="34" t="s">
        <v>144</v>
      </c>
      <c r="D34" s="37"/>
      <c r="E34" s="37"/>
      <c r="F34" s="37"/>
      <c r="G34" s="37"/>
      <c r="H34" s="37"/>
      <c r="I34" s="37"/>
      <c r="J34" s="29">
        <f>orig_tribal!D15</f>
        <v>91.076145014999994</v>
      </c>
      <c r="K34" s="34">
        <f t="shared" si="13"/>
        <v>91.076145014999994</v>
      </c>
      <c r="L34" s="29">
        <f>orig_tribal!B15</f>
        <v>170</v>
      </c>
      <c r="M34" s="29">
        <f>orig_tribal!D15</f>
        <v>91.076145014999994</v>
      </c>
      <c r="O34" s="39"/>
      <c r="P34" s="39"/>
    </row>
    <row r="35" spans="1:16" x14ac:dyDescent="0.25">
      <c r="C35" s="29" t="str">
        <f>orig_tribal!A16</f>
        <v>Interlake Reserves</v>
      </c>
      <c r="D35" s="75"/>
      <c r="E35" s="75"/>
      <c r="F35" s="29" t="str">
        <f>orig_tribal!K16</f>
        <v xml:space="preserve"> </v>
      </c>
      <c r="G35" s="29" t="str">
        <f>IF(orig_tribal!U16="b","‡","")</f>
        <v/>
      </c>
      <c r="H35" s="104"/>
      <c r="I35" s="29" t="str">
        <f>IF(orig_tribal!Y16="s", "s", "")</f>
        <v/>
      </c>
      <c r="J35" s="29">
        <f>orig_tribal!D16</f>
        <v>47.915668424000003</v>
      </c>
      <c r="K35" s="29">
        <f>$J$45</f>
        <v>54.887754542000003</v>
      </c>
      <c r="L35" s="29">
        <f>orig_tribal!B16</f>
        <v>6</v>
      </c>
      <c r="M35" s="29">
        <f>orig_tribal!D16</f>
        <v>47.915668424000003</v>
      </c>
      <c r="O35" s="33"/>
      <c r="P35" s="33"/>
    </row>
    <row r="36" spans="1:16" x14ac:dyDescent="0.25">
      <c r="A36" s="36"/>
      <c r="C36" s="29" t="str">
        <f>orig_tribal!A21</f>
        <v>West Region</v>
      </c>
      <c r="D36" s="75"/>
      <c r="E36" s="75"/>
      <c r="F36" s="29" t="str">
        <f>orig_tribal!K21</f>
        <v xml:space="preserve"> </v>
      </c>
      <c r="G36" s="29" t="str">
        <f>IF(orig_tribal!U21="b","‡","")</f>
        <v/>
      </c>
      <c r="H36" s="105"/>
      <c r="I36" s="29" t="str">
        <f>IF(orig_tribal!Y21="s", "s", "")</f>
        <v>s</v>
      </c>
      <c r="J36" s="29" t="str">
        <f>orig_tribal!D21</f>
        <v xml:space="preserve"> </v>
      </c>
      <c r="K36" s="29">
        <f t="shared" ref="K36:K45" si="16">$J$45</f>
        <v>54.887754542000003</v>
      </c>
      <c r="L36" s="29" t="str">
        <f>orig_tribal!B21</f>
        <v xml:space="preserve"> </v>
      </c>
      <c r="M36" s="29" t="str">
        <f>orig_tribal!D21</f>
        <v xml:space="preserve"> </v>
      </c>
      <c r="O36" s="33"/>
      <c r="P36" s="33"/>
    </row>
    <row r="37" spans="1:16" x14ac:dyDescent="0.25">
      <c r="C37" s="29" t="str">
        <f>orig_tribal!A19</f>
        <v>Independent-North</v>
      </c>
      <c r="D37" s="75"/>
      <c r="E37" s="75"/>
      <c r="F37" s="29" t="str">
        <f>orig_tribal!K19</f>
        <v xml:space="preserve"> </v>
      </c>
      <c r="G37" s="29" t="str">
        <f>IF(orig_tribal!U19="b","‡","")</f>
        <v/>
      </c>
      <c r="H37" s="105"/>
      <c r="I37" s="29" t="str">
        <f>IF(orig_tribal!Y19="s", "s", "")</f>
        <v/>
      </c>
      <c r="J37" s="29">
        <f>orig_tribal!D19</f>
        <v>92.526690391000002</v>
      </c>
      <c r="K37" s="29">
        <f t="shared" si="16"/>
        <v>54.887754542000003</v>
      </c>
      <c r="L37" s="29">
        <f>orig_tribal!B19</f>
        <v>13</v>
      </c>
      <c r="M37" s="29">
        <f>orig_tribal!D19</f>
        <v>92.526690391000002</v>
      </c>
      <c r="O37" s="33"/>
      <c r="P37" s="33"/>
    </row>
    <row r="38" spans="1:16" x14ac:dyDescent="0.25">
      <c r="A38" s="36"/>
      <c r="C38" s="29" t="str">
        <f>orig_tribal!A17</f>
        <v>Swampy Cree Nation</v>
      </c>
      <c r="D38" s="75"/>
      <c r="E38" s="75"/>
      <c r="F38" s="29" t="str">
        <f>orig_tribal!K17</f>
        <v xml:space="preserve"> </v>
      </c>
      <c r="G38" s="29" t="str">
        <f>IF(orig_tribal!U17="b","‡","")</f>
        <v/>
      </c>
      <c r="H38" s="105"/>
      <c r="I38" s="29" t="str">
        <f>IF(orig_tribal!Y17="s", "s", "")</f>
        <v>s</v>
      </c>
      <c r="J38" s="29" t="str">
        <f>orig_tribal!D17</f>
        <v xml:space="preserve"> </v>
      </c>
      <c r="K38" s="29">
        <f t="shared" si="16"/>
        <v>54.887754542000003</v>
      </c>
      <c r="L38" s="29" t="str">
        <f>orig_tribal!B17</f>
        <v xml:space="preserve"> </v>
      </c>
      <c r="M38" s="29" t="str">
        <f>orig_tribal!D17</f>
        <v xml:space="preserve"> </v>
      </c>
      <c r="O38" s="33"/>
      <c r="P38" s="33"/>
    </row>
    <row r="39" spans="1:16" x14ac:dyDescent="0.25">
      <c r="A39" s="66"/>
      <c r="C39" s="29" t="str">
        <f>orig_tribal!A18</f>
        <v>Keewatin</v>
      </c>
      <c r="D39" s="75"/>
      <c r="E39" s="75"/>
      <c r="F39" s="29" t="str">
        <f>orig_tribal!K18</f>
        <v xml:space="preserve"> </v>
      </c>
      <c r="G39" s="29" t="str">
        <f>IF(orig_tribal!U18="b","‡","")</f>
        <v/>
      </c>
      <c r="H39" s="105"/>
      <c r="I39" s="29" t="str">
        <f>IF(orig_tribal!Y18="s", "s", "")</f>
        <v/>
      </c>
      <c r="J39" s="29">
        <f>orig_tribal!D18</f>
        <v>66.118824974000006</v>
      </c>
      <c r="K39" s="29">
        <f t="shared" si="16"/>
        <v>54.887754542000003</v>
      </c>
      <c r="L39" s="29">
        <f>orig_tribal!B18</f>
        <v>7</v>
      </c>
      <c r="M39" s="29">
        <f>orig_tribal!D18</f>
        <v>66.118824974000006</v>
      </c>
      <c r="O39" s="33"/>
      <c r="P39" s="33"/>
    </row>
    <row r="40" spans="1:16" x14ac:dyDescent="0.25">
      <c r="C40" s="29" t="str">
        <f>orig_tribal!A20</f>
        <v>Independent-South</v>
      </c>
      <c r="D40" s="75"/>
      <c r="E40" s="75"/>
      <c r="F40" s="29">
        <f>orig_tribal!K20</f>
        <v>1</v>
      </c>
      <c r="G40" s="29" t="str">
        <f>IF(orig_tribal!U20="b","‡","")</f>
        <v/>
      </c>
      <c r="H40" s="105"/>
      <c r="I40" s="29" t="str">
        <f>IF(orig_tribal!Y20="s", "s", "")</f>
        <v/>
      </c>
      <c r="J40" s="29">
        <f>orig_tribal!D20</f>
        <v>36.357025995000001</v>
      </c>
      <c r="K40" s="29">
        <f t="shared" si="16"/>
        <v>54.887754542000003</v>
      </c>
      <c r="L40" s="29">
        <f>orig_tribal!B20</f>
        <v>6</v>
      </c>
      <c r="M40" s="29">
        <f>orig_tribal!D20</f>
        <v>36.357025995000001</v>
      </c>
      <c r="O40" s="33"/>
      <c r="P40" s="33"/>
    </row>
    <row r="41" spans="1:16" x14ac:dyDescent="0.25">
      <c r="A41" s="36"/>
      <c r="C41" s="29" t="str">
        <f>orig_tribal!A24</f>
        <v>Dakota Ojibway</v>
      </c>
      <c r="D41" s="75"/>
      <c r="E41" s="75"/>
      <c r="F41" s="29" t="str">
        <f>orig_tribal!K24</f>
        <v xml:space="preserve"> </v>
      </c>
      <c r="G41" s="29" t="str">
        <f>IF(orig_tribal!U24="b","‡","")</f>
        <v/>
      </c>
      <c r="H41" s="105"/>
      <c r="I41" s="29" t="str">
        <f>IF(orig_tribal!Y24="s", "s", "")</f>
        <v>s</v>
      </c>
      <c r="J41" s="29" t="str">
        <f>orig_tribal!D24</f>
        <v xml:space="preserve"> </v>
      </c>
      <c r="K41" s="29">
        <f t="shared" si="16"/>
        <v>54.887754542000003</v>
      </c>
      <c r="L41" s="29" t="str">
        <f>orig_tribal!B24</f>
        <v xml:space="preserve"> </v>
      </c>
      <c r="M41" s="29" t="str">
        <f>orig_tribal!D24</f>
        <v xml:space="preserve"> </v>
      </c>
      <c r="O41" s="33"/>
      <c r="P41" s="33"/>
    </row>
    <row r="42" spans="1:16" x14ac:dyDescent="0.25">
      <c r="A42" s="36"/>
      <c r="C42" s="29" t="str">
        <f>orig_tribal!A23</f>
        <v>Southeast Resource</v>
      </c>
      <c r="D42" s="75"/>
      <c r="E42" s="75"/>
      <c r="F42" s="29" t="str">
        <f>orig_tribal!K23</f>
        <v xml:space="preserve"> </v>
      </c>
      <c r="G42" s="29" t="str">
        <f>IF(orig_tribal!U23="b","‡","")</f>
        <v/>
      </c>
      <c r="H42" s="105"/>
      <c r="I42" s="29" t="str">
        <f>IF(orig_tribal!Y23="s", "s", "")</f>
        <v>s</v>
      </c>
      <c r="J42" s="29" t="str">
        <f>orig_tribal!D23</f>
        <v xml:space="preserve"> </v>
      </c>
      <c r="K42" s="29">
        <f t="shared" si="16"/>
        <v>54.887754542000003</v>
      </c>
      <c r="L42" s="29" t="str">
        <f>orig_tribal!B23</f>
        <v xml:space="preserve"> </v>
      </c>
      <c r="M42" s="29" t="str">
        <f>orig_tribal!D23</f>
        <v xml:space="preserve"> </v>
      </c>
      <c r="O42" s="33"/>
      <c r="P42" s="33"/>
    </row>
    <row r="43" spans="1:16" x14ac:dyDescent="0.25">
      <c r="A43" s="36"/>
      <c r="C43" s="29" t="str">
        <f>orig_tribal!A22</f>
        <v>Island Lake</v>
      </c>
      <c r="D43" s="75"/>
      <c r="E43" s="75"/>
      <c r="F43" s="29" t="str">
        <f>orig_tribal!K22</f>
        <v xml:space="preserve"> </v>
      </c>
      <c r="G43" s="29" t="str">
        <f>IF(orig_tribal!U22="b","‡","")</f>
        <v/>
      </c>
      <c r="H43" s="105"/>
      <c r="I43" s="29" t="str">
        <f>IF(orig_tribal!Y22="s", "s", "")</f>
        <v>s</v>
      </c>
      <c r="J43" s="29" t="str">
        <f>orig_tribal!D22</f>
        <v xml:space="preserve"> </v>
      </c>
      <c r="K43" s="29">
        <f t="shared" si="16"/>
        <v>54.887754542000003</v>
      </c>
      <c r="L43" s="29" t="str">
        <f>orig_tribal!B22</f>
        <v xml:space="preserve"> </v>
      </c>
      <c r="M43" s="29" t="str">
        <f>orig_tribal!D22</f>
        <v xml:space="preserve"> </v>
      </c>
      <c r="O43" s="33"/>
      <c r="P43" s="33"/>
    </row>
    <row r="44" spans="1:16" x14ac:dyDescent="0.25">
      <c r="A44" s="29" t="s">
        <v>229</v>
      </c>
      <c r="C44" s="29" t="str">
        <f>orig_tribal!A25</f>
        <v>Non-affiliated</v>
      </c>
      <c r="D44" s="75"/>
      <c r="E44" s="75"/>
      <c r="F44" s="29" t="str">
        <f>orig_tribal!K25</f>
        <v xml:space="preserve"> </v>
      </c>
      <c r="G44" s="29" t="str">
        <f>IF(orig_tribal!U25="b","‡","")</f>
        <v/>
      </c>
      <c r="H44" s="105"/>
      <c r="I44" s="29" t="str">
        <f>IF(orig_tribal!Y25="s", "s", "")</f>
        <v>s</v>
      </c>
      <c r="J44" s="29" t="str">
        <f>orig_tribal!D25</f>
        <v xml:space="preserve"> </v>
      </c>
      <c r="K44" s="29">
        <f t="shared" si="16"/>
        <v>54.887754542000003</v>
      </c>
      <c r="L44" s="29" t="str">
        <f>orig_tribal!B25</f>
        <v xml:space="preserve"> </v>
      </c>
      <c r="M44" s="29" t="str">
        <f>orig_tribal!D25</f>
        <v xml:space="preserve"> </v>
      </c>
      <c r="O44" s="33"/>
      <c r="P44" s="33"/>
    </row>
    <row r="45" spans="1:16" s="34" customFormat="1" ht="15.75" thickBot="1" x14ac:dyDescent="0.3">
      <c r="A45" s="34" t="s">
        <v>229</v>
      </c>
      <c r="C45" s="34" t="str">
        <f>orig_tribal!A26</f>
        <v>All FN Off Reserve</v>
      </c>
      <c r="D45" s="37"/>
      <c r="E45" s="37"/>
      <c r="F45" s="37"/>
      <c r="G45" s="37"/>
      <c r="H45" s="106"/>
      <c r="I45" s="37"/>
      <c r="J45" s="29">
        <f>orig_tribal!D26</f>
        <v>54.887754542000003</v>
      </c>
      <c r="K45" s="34">
        <f t="shared" si="16"/>
        <v>54.887754542000003</v>
      </c>
      <c r="L45" s="29">
        <f>orig_tribal!B26</f>
        <v>50</v>
      </c>
      <c r="M45" s="29">
        <f>orig_tribal!D26</f>
        <v>54.887754542000003</v>
      </c>
      <c r="O45" s="39"/>
      <c r="P45" s="39"/>
    </row>
    <row r="47" spans="1:16" x14ac:dyDescent="0.25">
      <c r="A47" s="50" t="s">
        <v>163</v>
      </c>
      <c r="D47" s="31" t="s">
        <v>123</v>
      </c>
      <c r="G47" s="29" t="s">
        <v>4</v>
      </c>
      <c r="H47" s="29" t="s">
        <v>4</v>
      </c>
      <c r="L47" s="31" t="s">
        <v>2</v>
      </c>
      <c r="M47" s="31" t="s">
        <v>14</v>
      </c>
      <c r="N47" s="29" t="s">
        <v>124</v>
      </c>
      <c r="O47" s="29" t="s">
        <v>124</v>
      </c>
    </row>
    <row r="48" spans="1:16" x14ac:dyDescent="0.25">
      <c r="D48" s="30" t="s">
        <v>1</v>
      </c>
      <c r="E48" s="30"/>
      <c r="F48" s="32" t="s">
        <v>131</v>
      </c>
      <c r="G48" s="32" t="s">
        <v>132</v>
      </c>
      <c r="H48" s="32" t="s">
        <v>130</v>
      </c>
      <c r="I48" s="32" t="s">
        <v>133</v>
      </c>
      <c r="J48" s="32" t="s">
        <v>134</v>
      </c>
      <c r="K48" s="32" t="s">
        <v>135</v>
      </c>
      <c r="L48" s="29" t="s">
        <v>54</v>
      </c>
    </row>
    <row r="49" spans="1:13" x14ac:dyDescent="0.25">
      <c r="A49" s="29" t="s">
        <v>68</v>
      </c>
      <c r="B49" s="29" t="str">
        <f>CONCATENATE(C49," ",(IF(E49="()","",E49)))</f>
        <v>Urban Off-Reserve (1,2)</v>
      </c>
      <c r="C49" s="29" t="s">
        <v>75</v>
      </c>
      <c r="D49" s="29" t="str">
        <f>CONCATENATE("(",F49,",",G49,")")</f>
        <v>(1,2)</v>
      </c>
      <c r="E49" s="29" t="str">
        <f>SUBSTITUTE(SUBSTITUTE(SUBSTITUTE(SUBSTITUTE(D49,"(,)",""),"()",""),"(,","("),",)",")")</f>
        <v>(1,2)</v>
      </c>
      <c r="F49" s="29" t="str">
        <f>IF(orig_income!$P$8="o","1","")</f>
        <v>1</v>
      </c>
      <c r="G49" s="29" t="str">
        <f>IF(orig_income!$P$12="o","2","")</f>
        <v>2</v>
      </c>
      <c r="L49" s="29" t="str">
        <f>IF(orig_income!$Q$6="","",orig_income!$Q$6)</f>
        <v xml:space="preserve"> </v>
      </c>
      <c r="M49" s="29">
        <f>IF(L49="s","s",orig_income!$F$6)</f>
        <v>55.022524846000003</v>
      </c>
    </row>
    <row r="50" spans="1:13" x14ac:dyDescent="0.25">
      <c r="B50" s="29" t="str">
        <f t="shared" ref="B50:B55" si="17">CONCATENATE(C50," ",(IF(E50="()","",E50)))</f>
        <v>Rural On-Reserve (3,4)</v>
      </c>
      <c r="C50" s="29" t="s">
        <v>76</v>
      </c>
      <c r="D50" s="29" t="str">
        <f>CONCATENATE("(",H50,",",I50,")")</f>
        <v>(3,4)</v>
      </c>
      <c r="E50" s="29" t="str">
        <f t="shared" ref="E50:E51" si="18">SUBSTITUTE(SUBSTITUTE(SUBSTITUTE(SUBSTITUTE(D50,"(,)",""),"()",""),"(,","("),",)",")")</f>
        <v>(3,4)</v>
      </c>
      <c r="H50" s="29" t="str">
        <f>IF(orig_income!$O$13="r","3","")</f>
        <v>3</v>
      </c>
      <c r="I50" s="29" t="str">
        <f>IF(orig_income!$O$17="r","4","")</f>
        <v>4</v>
      </c>
      <c r="L50" s="29" t="str">
        <f>IF(orig_income!$Q$5="","",orig_income!$Q$5)</f>
        <v xml:space="preserve"> </v>
      </c>
      <c r="M50" s="29">
        <f>IF(L50="s","s",orig_income!$F$5)</f>
        <v>91.292323390000007</v>
      </c>
    </row>
    <row r="51" spans="1:13" x14ac:dyDescent="0.25">
      <c r="B51" s="29" t="str">
        <f t="shared" si="17"/>
        <v xml:space="preserve">Rural Off-Reserve </v>
      </c>
      <c r="C51" s="29" t="s">
        <v>77</v>
      </c>
      <c r="D51" s="29" t="str">
        <f>CONCATENATE("(",J51,",",K51,,")")</f>
        <v>(,)</v>
      </c>
      <c r="E51" s="29" t="str">
        <f t="shared" si="18"/>
        <v/>
      </c>
      <c r="J51" s="29" t="str">
        <f>IF(orig_income!$P$13="o","5","")</f>
        <v/>
      </c>
      <c r="K51" s="29" t="str">
        <f>IF(orig_income!$P$17="o","6","")</f>
        <v/>
      </c>
      <c r="L51" s="29" t="str">
        <f>IF(orig_income!$Q$7="","",orig_income!$Q$7)</f>
        <v xml:space="preserve"> </v>
      </c>
      <c r="M51" s="29">
        <f>IF(L51="s","s",orig_income!$F$7)</f>
        <v>42.485696482000002</v>
      </c>
    </row>
    <row r="52" spans="1:13" x14ac:dyDescent="0.25">
      <c r="A52" s="29" t="s">
        <v>74</v>
      </c>
      <c r="B52" s="29" t="str">
        <f t="shared" si="17"/>
        <v xml:space="preserve">Lowest Urban </v>
      </c>
      <c r="C52" s="29" t="s">
        <v>145</v>
      </c>
      <c r="L52" s="29" t="str">
        <f>IF(orig_income!$Q$8="","",orig_income!$Q$8)</f>
        <v xml:space="preserve"> </v>
      </c>
      <c r="M52" s="29">
        <f>IF(L52="s","s",orig_income!$F$8)</f>
        <v>20.906443665000001</v>
      </c>
    </row>
    <row r="53" spans="1:13" x14ac:dyDescent="0.25">
      <c r="B53" s="29" t="str">
        <f t="shared" si="17"/>
        <v xml:space="preserve">Highest Urban </v>
      </c>
      <c r="C53" s="29" t="s">
        <v>146</v>
      </c>
      <c r="L53" s="29" t="str">
        <f>IF(orig_income!$Q$12="","",orig_income!$Q$12)</f>
        <v xml:space="preserve"> </v>
      </c>
      <c r="M53" s="29">
        <f>IF(L53="s","s",orig_income!$F$12)</f>
        <v>16.173727397</v>
      </c>
    </row>
    <row r="54" spans="1:13" x14ac:dyDescent="0.25">
      <c r="B54" s="29" t="str">
        <f t="shared" si="17"/>
        <v xml:space="preserve">Lowest Rural </v>
      </c>
      <c r="C54" s="29" t="s">
        <v>147</v>
      </c>
      <c r="L54" s="29" t="str">
        <f>IF(orig_income!$Q$13="","",orig_income!$Q$13)</f>
        <v xml:space="preserve"> </v>
      </c>
      <c r="M54" s="29">
        <f>IF(L54="s","s",orig_income!$F$13)</f>
        <v>21.063274074999999</v>
      </c>
    </row>
    <row r="55" spans="1:13" x14ac:dyDescent="0.25">
      <c r="B55" s="29" t="str">
        <f t="shared" si="17"/>
        <v xml:space="preserve">Highest Rural </v>
      </c>
      <c r="C55" s="29" t="s">
        <v>148</v>
      </c>
      <c r="L55" s="29" t="str">
        <f>IF(orig_income!$Q$17="","",orig_income!$Q$17)</f>
        <v xml:space="preserve"> </v>
      </c>
      <c r="M55" s="29">
        <f>IF(L55="s","s",orig_income!$F$17)</f>
        <v>26.199417261000001</v>
      </c>
    </row>
    <row r="56" spans="1:13" s="34" customFormat="1" ht="15.75" thickBot="1" x14ac:dyDescent="0.3"/>
    <row r="57" spans="1:13" x14ac:dyDescent="0.25">
      <c r="A57" s="50" t="s">
        <v>164</v>
      </c>
      <c r="D57" s="31" t="s">
        <v>123</v>
      </c>
      <c r="G57" s="29" t="s">
        <v>4</v>
      </c>
      <c r="I57" s="31" t="s">
        <v>2</v>
      </c>
      <c r="J57" s="31" t="s">
        <v>14</v>
      </c>
      <c r="K57" s="29" t="s">
        <v>124</v>
      </c>
      <c r="L57" s="29" t="s">
        <v>124</v>
      </c>
    </row>
    <row r="58" spans="1:13" x14ac:dyDescent="0.25">
      <c r="D58" s="30" t="s">
        <v>1</v>
      </c>
      <c r="E58" s="30"/>
      <c r="F58" s="32" t="s">
        <v>131</v>
      </c>
      <c r="G58" s="32" t="s">
        <v>130</v>
      </c>
      <c r="H58" s="32" t="s">
        <v>134</v>
      </c>
      <c r="I58" s="29" t="s">
        <v>54</v>
      </c>
    </row>
    <row r="59" spans="1:13" x14ac:dyDescent="0.25">
      <c r="A59" s="29" t="s">
        <v>68</v>
      </c>
      <c r="B59" s="29" t="str">
        <f>CONCATENATE(C59," ",(IF(E59="()","",E59)))</f>
        <v>Urban Off-Reserve (1)</v>
      </c>
      <c r="C59" s="29" t="s">
        <v>75</v>
      </c>
      <c r="D59" s="29" t="str">
        <f>CONCATENATE("(",F59,")")</f>
        <v>(1)</v>
      </c>
      <c r="E59" s="29" t="str">
        <f>SUBSTITUTE(SUBSTITUTE(SUBSTITUTE(SUBSTITUTE(D59,"(,)",""),"()",""),"(,","("),",)",")")</f>
        <v>(1)</v>
      </c>
      <c r="F59" s="29" t="str">
        <f>IF(orig_income!$P$8="o","1","")</f>
        <v>1</v>
      </c>
      <c r="I59" s="29" t="str">
        <f>IF(orig_income!$Q$6="","",orig_income!$Q$6)</f>
        <v xml:space="preserve"> </v>
      </c>
      <c r="J59" s="29">
        <f>IF(I59="s","s",orig_income!$F$6)</f>
        <v>55.022524846000003</v>
      </c>
    </row>
    <row r="60" spans="1:13" x14ac:dyDescent="0.25">
      <c r="B60" s="29" t="str">
        <f t="shared" ref="B60:B63" si="19">CONCATENATE(C60," ",(IF(E60="()","",E60)))</f>
        <v>Rural On-Reserve (2)</v>
      </c>
      <c r="C60" s="29" t="s">
        <v>76</v>
      </c>
      <c r="D60" s="29" t="str">
        <f>CONCATENATE("(",G60,")")</f>
        <v>(2)</v>
      </c>
      <c r="E60" s="29" t="str">
        <f t="shared" ref="E60:E61" si="20">SUBSTITUTE(SUBSTITUTE(SUBSTITUTE(SUBSTITUTE(D60,"(,)",""),"()",""),"(,","("),",)",")")</f>
        <v>(2)</v>
      </c>
      <c r="G60" s="29" t="str">
        <f>IF(orig_income!$O$13="r","2","")</f>
        <v>2</v>
      </c>
      <c r="I60" s="29" t="str">
        <f>IF(orig_income!$Q$5="","",orig_income!$Q$5)</f>
        <v xml:space="preserve"> </v>
      </c>
      <c r="J60" s="29">
        <f>IF(I60="s","s",orig_income!$F$5)</f>
        <v>91.292323390000007</v>
      </c>
    </row>
    <row r="61" spans="1:13" x14ac:dyDescent="0.25">
      <c r="B61" s="29" t="str">
        <f t="shared" si="19"/>
        <v xml:space="preserve">Rural Off-Reserve </v>
      </c>
      <c r="C61" s="29" t="s">
        <v>77</v>
      </c>
      <c r="D61" s="29" t="str">
        <f>CONCATENATE("(",H61,")")</f>
        <v>()</v>
      </c>
      <c r="E61" s="29" t="str">
        <f t="shared" si="20"/>
        <v/>
      </c>
      <c r="H61" s="29" t="str">
        <f>IF(orig_income!$P$13="o","3","")</f>
        <v/>
      </c>
      <c r="I61" s="29" t="str">
        <f>IF(orig_income!$Q$7="","",orig_income!$Q$7)</f>
        <v xml:space="preserve"> </v>
      </c>
      <c r="J61" s="29">
        <f>IF(I61="s","s",orig_income!$F$7)</f>
        <v>42.485696482000002</v>
      </c>
    </row>
    <row r="62" spans="1:13" x14ac:dyDescent="0.25">
      <c r="A62" s="29" t="s">
        <v>74</v>
      </c>
      <c r="B62" s="29" t="str">
        <f t="shared" si="19"/>
        <v xml:space="preserve">Lowest Urban </v>
      </c>
      <c r="C62" s="29" t="s">
        <v>145</v>
      </c>
      <c r="I62" s="29" t="str">
        <f>IF(orig_income!$Q$8="","",orig_income!$Q$8)</f>
        <v xml:space="preserve"> </v>
      </c>
      <c r="J62" s="29">
        <f>IF(I62="s","s",orig_income!$F$8)</f>
        <v>20.906443665000001</v>
      </c>
    </row>
    <row r="63" spans="1:13" x14ac:dyDescent="0.25">
      <c r="B63" s="29" t="str">
        <f t="shared" si="19"/>
        <v xml:space="preserve">Lowest Rural </v>
      </c>
      <c r="C63" s="29" t="s">
        <v>147</v>
      </c>
      <c r="I63" s="29" t="str">
        <f>IF(orig_income!$Q$13="","",orig_income!$Q$13)</f>
        <v xml:space="preserve"> </v>
      </c>
      <c r="J63" s="29">
        <f>IF(I63="s","s",orig_income!$F$13)</f>
        <v>21.063274074999999</v>
      </c>
    </row>
  </sheetData>
  <mergeCells count="1">
    <mergeCell ref="H35:H45"/>
  </mergeCells>
  <pageMargins left="0.7" right="0.7" top="0.75" bottom="0.75" header="0.3" footer="0.3"/>
  <pageSetup orientation="portrait" r:id="rId1"/>
  <ignoredErrors>
    <ignoredError sqref="F31:J31 L31:M31 F42:G42 I42:J42 L42:M42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V27"/>
  <sheetViews>
    <sheetView workbookViewId="0"/>
  </sheetViews>
  <sheetFormatPr defaultRowHeight="15" x14ac:dyDescent="0.25"/>
  <cols>
    <col min="1" max="1" width="18.5703125" customWidth="1"/>
    <col min="2" max="2" width="13.28515625" customWidth="1"/>
    <col min="3" max="3" width="11.7109375" customWidth="1"/>
    <col min="4" max="4" width="15.28515625" customWidth="1"/>
    <col min="5" max="5" width="14.42578125" customWidth="1"/>
    <col min="6" max="6" width="14.7109375" customWidth="1"/>
    <col min="7" max="7" width="12.42578125" customWidth="1"/>
    <col min="8" max="8" width="15.42578125" customWidth="1"/>
    <col min="9" max="9" width="13.5703125" customWidth="1"/>
    <col min="10" max="10" width="12.85546875" customWidth="1"/>
    <col min="11" max="11" width="13.42578125" customWidth="1"/>
    <col min="12" max="12" width="14" customWidth="1"/>
    <col min="13" max="13" width="12.28515625" customWidth="1"/>
    <col min="14" max="14" width="15.7109375" customWidth="1"/>
    <col min="15" max="15" width="14.85546875" customWidth="1"/>
    <col min="16" max="16" width="15.28515625" customWidth="1"/>
    <col min="17" max="17" width="12.85546875" customWidth="1"/>
    <col min="18" max="18" width="15.85546875" customWidth="1"/>
    <col min="19" max="19" width="14" customWidth="1"/>
    <col min="20" max="20" width="13.5703125" customWidth="1"/>
    <col min="21" max="21" width="13.85546875" customWidth="1"/>
    <col min="22" max="22" width="9.5703125" customWidth="1"/>
    <col min="23" max="23" width="7.85546875" customWidth="1"/>
    <col min="24" max="26" width="12.42578125" customWidth="1"/>
    <col min="27" max="27" width="12.7109375" customWidth="1"/>
    <col min="28" max="31" width="12.42578125" customWidth="1"/>
    <col min="32" max="32" width="9.85546875" customWidth="1"/>
    <col min="33" max="33" width="8.28515625" customWidth="1"/>
    <col min="34" max="41" width="12.42578125" customWidth="1"/>
    <col min="42" max="42" width="13.42578125" customWidth="1"/>
    <col min="43" max="43" width="14.42578125" customWidth="1"/>
    <col min="44" max="44" width="13.42578125" customWidth="1"/>
    <col min="45" max="45" width="14" customWidth="1"/>
    <col min="46" max="46" width="14.5703125" customWidth="1"/>
    <col min="47" max="47" width="15.5703125" customWidth="1"/>
    <col min="48" max="48" width="14.5703125" customWidth="1"/>
    <col min="49" max="49" width="15.28515625" customWidth="1"/>
    <col min="50" max="50" width="11.85546875" style="16" customWidth="1"/>
    <col min="51" max="51" width="12.42578125" style="16" customWidth="1"/>
    <col min="52" max="52" width="8" style="16" customWidth="1"/>
    <col min="53" max="53" width="8.42578125" style="16" customWidth="1"/>
    <col min="54" max="54" width="12.7109375" style="16" customWidth="1"/>
    <col min="55" max="55" width="14" style="16" customWidth="1"/>
    <col min="56" max="56" width="16" style="16" customWidth="1"/>
    <col min="57" max="57" width="16.5703125" style="16" customWidth="1"/>
    <col min="58" max="58" width="12" style="16" customWidth="1"/>
    <col min="59" max="59" width="12.42578125" style="16" customWidth="1"/>
    <col min="60" max="60" width="9.140625" style="16"/>
  </cols>
  <sheetData>
    <row r="1" spans="1:74" s="2" customFormat="1" x14ac:dyDescent="0.25">
      <c r="A1" s="2" t="s">
        <v>261</v>
      </c>
      <c r="L1" s="16"/>
      <c r="M1" s="55"/>
      <c r="N1" s="55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</row>
    <row r="2" spans="1:74" s="2" customFormat="1" x14ac:dyDescent="0.25">
      <c r="A2" s="2" t="s">
        <v>262</v>
      </c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</row>
    <row r="3" spans="1:74" s="16" customFormat="1" x14ac:dyDescent="0.25">
      <c r="A3" s="16" t="s">
        <v>263</v>
      </c>
      <c r="D3" s="56"/>
      <c r="E3" s="56"/>
    </row>
    <row r="4" spans="1:74" s="2" customFormat="1" x14ac:dyDescent="0.25">
      <c r="A4" s="2" t="s">
        <v>15</v>
      </c>
      <c r="B4" s="2" t="s">
        <v>240</v>
      </c>
      <c r="C4" s="2" t="s">
        <v>16</v>
      </c>
      <c r="D4" s="2" t="s">
        <v>21</v>
      </c>
      <c r="E4" s="55" t="s">
        <v>17</v>
      </c>
      <c r="F4" s="2" t="s">
        <v>18</v>
      </c>
      <c r="G4" s="2" t="s">
        <v>19</v>
      </c>
      <c r="H4" s="2" t="s">
        <v>22</v>
      </c>
      <c r="I4" s="2" t="s">
        <v>23</v>
      </c>
      <c r="J4" s="2" t="s">
        <v>24</v>
      </c>
      <c r="K4" s="2" t="s">
        <v>20</v>
      </c>
      <c r="L4" s="2" t="s">
        <v>241</v>
      </c>
      <c r="M4" s="2" t="s">
        <v>25</v>
      </c>
      <c r="N4" s="2" t="s">
        <v>30</v>
      </c>
      <c r="O4" s="55" t="s">
        <v>26</v>
      </c>
      <c r="P4" s="16" t="s">
        <v>27</v>
      </c>
      <c r="Q4" s="2" t="s">
        <v>28</v>
      </c>
      <c r="R4" s="2" t="s">
        <v>31</v>
      </c>
      <c r="S4" s="2" t="s">
        <v>32</v>
      </c>
      <c r="T4" s="2" t="s">
        <v>33</v>
      </c>
      <c r="U4" s="2" t="s">
        <v>29</v>
      </c>
      <c r="V4" s="2" t="s">
        <v>242</v>
      </c>
      <c r="W4" s="2" t="s">
        <v>34</v>
      </c>
      <c r="X4" s="2" t="s">
        <v>39</v>
      </c>
      <c r="Y4" s="55" t="s">
        <v>35</v>
      </c>
      <c r="Z4" s="2" t="s">
        <v>36</v>
      </c>
      <c r="AA4" s="2" t="s">
        <v>37</v>
      </c>
      <c r="AB4" s="2" t="s">
        <v>40</v>
      </c>
      <c r="AC4" s="2" t="s">
        <v>41</v>
      </c>
      <c r="AD4" s="2" t="s">
        <v>42</v>
      </c>
      <c r="AE4" s="2" t="s">
        <v>38</v>
      </c>
      <c r="AF4" s="2" t="s">
        <v>243</v>
      </c>
      <c r="AG4" s="2" t="s">
        <v>169</v>
      </c>
      <c r="AH4" s="2" t="s">
        <v>170</v>
      </c>
      <c r="AI4" s="55" t="s">
        <v>171</v>
      </c>
      <c r="AJ4" s="2" t="s">
        <v>172</v>
      </c>
      <c r="AK4" s="2" t="s">
        <v>173</v>
      </c>
      <c r="AL4" s="2" t="s">
        <v>174</v>
      </c>
      <c r="AM4" s="2" t="s">
        <v>175</v>
      </c>
      <c r="AN4" s="2" t="s">
        <v>176</v>
      </c>
      <c r="AO4" s="2" t="s">
        <v>177</v>
      </c>
      <c r="AP4" s="2" t="s">
        <v>178</v>
      </c>
      <c r="AQ4" s="2" t="s">
        <v>179</v>
      </c>
      <c r="AR4" s="2" t="s">
        <v>180</v>
      </c>
      <c r="AS4" s="2" t="s">
        <v>181</v>
      </c>
      <c r="AT4" s="2" t="s">
        <v>44</v>
      </c>
      <c r="AU4" s="2" t="s">
        <v>45</v>
      </c>
      <c r="AV4" s="2" t="s">
        <v>46</v>
      </c>
      <c r="AW4" s="2" t="s">
        <v>43</v>
      </c>
      <c r="AX4" s="55" t="s">
        <v>47</v>
      </c>
      <c r="AY4" s="55" t="s">
        <v>48</v>
      </c>
      <c r="AZ4" s="55" t="s">
        <v>49</v>
      </c>
      <c r="BA4" s="55" t="s">
        <v>182</v>
      </c>
      <c r="BB4" s="55" t="s">
        <v>183</v>
      </c>
      <c r="BC4" s="55" t="s">
        <v>50</v>
      </c>
      <c r="BD4" s="16" t="s">
        <v>51</v>
      </c>
      <c r="BE4" s="16" t="s">
        <v>52</v>
      </c>
      <c r="BF4" s="16" t="s">
        <v>53</v>
      </c>
      <c r="BG4" s="16" t="s">
        <v>184</v>
      </c>
      <c r="BH4" s="16"/>
    </row>
    <row r="5" spans="1:74" s="2" customFormat="1" x14ac:dyDescent="0.25">
      <c r="A5" s="2" t="s">
        <v>88</v>
      </c>
      <c r="B5" s="2">
        <v>12</v>
      </c>
      <c r="C5" s="2">
        <v>18169</v>
      </c>
      <c r="D5" s="2">
        <v>66.046562827000002</v>
      </c>
      <c r="E5" s="55">
        <v>61.589390928999997</v>
      </c>
      <c r="F5" s="2">
        <v>34.963470700000002</v>
      </c>
      <c r="G5" s="2">
        <v>108.49189165999999</v>
      </c>
      <c r="H5" s="2">
        <v>0.72124114719999999</v>
      </c>
      <c r="I5" s="2">
        <v>0.40163718110000002</v>
      </c>
      <c r="J5" s="2">
        <v>1.2951709078</v>
      </c>
      <c r="K5" s="2">
        <v>0.273935394</v>
      </c>
      <c r="L5" s="2" t="s">
        <v>54</v>
      </c>
      <c r="M5" s="2" t="s">
        <v>54</v>
      </c>
      <c r="N5" s="2" t="s">
        <v>54</v>
      </c>
      <c r="O5" s="55" t="s">
        <v>54</v>
      </c>
      <c r="P5" s="16" t="s">
        <v>54</v>
      </c>
      <c r="Q5" s="2" t="s">
        <v>54</v>
      </c>
      <c r="R5" s="2" t="s">
        <v>54</v>
      </c>
      <c r="S5" s="2" t="s">
        <v>54</v>
      </c>
      <c r="T5" s="2" t="s">
        <v>54</v>
      </c>
      <c r="U5" s="2" t="s">
        <v>54</v>
      </c>
      <c r="V5" s="2">
        <v>13</v>
      </c>
      <c r="W5" s="2">
        <v>24106</v>
      </c>
      <c r="X5" s="2">
        <v>53.928482535000001</v>
      </c>
      <c r="Y5" s="55">
        <v>50.448410412999998</v>
      </c>
      <c r="Z5" s="2">
        <v>29.281659935</v>
      </c>
      <c r="AA5" s="2">
        <v>86.915909783999993</v>
      </c>
      <c r="AB5" s="2">
        <v>0.69298822510000002</v>
      </c>
      <c r="AC5" s="2">
        <v>0.396095849</v>
      </c>
      <c r="AD5" s="2">
        <v>1.2124153313999999</v>
      </c>
      <c r="AE5" s="2">
        <v>0.19877468139999999</v>
      </c>
      <c r="AF5" s="2">
        <v>71</v>
      </c>
      <c r="AG5" s="2">
        <v>258322</v>
      </c>
      <c r="AH5" s="2">
        <v>27.485076764999999</v>
      </c>
      <c r="AI5" s="55">
        <v>24.849252215</v>
      </c>
      <c r="AJ5" s="2">
        <v>19.667588946999999</v>
      </c>
      <c r="AK5" s="2">
        <v>31.396087100999999</v>
      </c>
      <c r="AL5" s="2">
        <v>1.4694641695999999</v>
      </c>
      <c r="AM5" s="2">
        <v>1.1291038067000001</v>
      </c>
      <c r="AN5" s="2">
        <v>1.9124237584999999</v>
      </c>
      <c r="AO5" s="1">
        <v>4.1934421E-3</v>
      </c>
      <c r="AP5" s="1">
        <v>2.0301782113</v>
      </c>
      <c r="AQ5" s="2">
        <v>1.1239410573999999</v>
      </c>
      <c r="AR5" s="2">
        <v>3.6671171876000002</v>
      </c>
      <c r="AS5" s="1">
        <v>1.8911752699999999E-2</v>
      </c>
      <c r="AT5" s="2">
        <v>3.870857349</v>
      </c>
      <c r="AU5" s="2">
        <v>0.50332850429999998</v>
      </c>
      <c r="AV5" s="2">
        <v>29.768901398000001</v>
      </c>
      <c r="AW5" s="2">
        <v>0.19347003409999999</v>
      </c>
      <c r="AX5" s="16" t="s">
        <v>54</v>
      </c>
      <c r="AY5" s="16" t="s">
        <v>54</v>
      </c>
      <c r="AZ5" s="16" t="s">
        <v>54</v>
      </c>
      <c r="BA5" s="16" t="s">
        <v>165</v>
      </c>
      <c r="BB5" s="16" t="s">
        <v>54</v>
      </c>
      <c r="BC5" s="16" t="s">
        <v>54</v>
      </c>
      <c r="BD5" s="16" t="s">
        <v>54</v>
      </c>
      <c r="BE5" s="16" t="s">
        <v>244</v>
      </c>
      <c r="BF5" s="16" t="s">
        <v>54</v>
      </c>
      <c r="BG5" s="16" t="s">
        <v>54</v>
      </c>
      <c r="BH5" s="16"/>
    </row>
    <row r="6" spans="1:74" s="2" customFormat="1" x14ac:dyDescent="0.25">
      <c r="A6" s="2" t="s">
        <v>89</v>
      </c>
      <c r="B6" s="2" t="s">
        <v>54</v>
      </c>
      <c r="C6" s="2" t="s">
        <v>54</v>
      </c>
      <c r="D6" s="2" t="s">
        <v>54</v>
      </c>
      <c r="E6" s="55" t="s">
        <v>54</v>
      </c>
      <c r="F6" s="2" t="s">
        <v>54</v>
      </c>
      <c r="G6" s="2" t="s">
        <v>54</v>
      </c>
      <c r="H6" s="2" t="s">
        <v>54</v>
      </c>
      <c r="I6" s="2" t="s">
        <v>54</v>
      </c>
      <c r="J6" s="2" t="s">
        <v>54</v>
      </c>
      <c r="K6" s="2" t="s">
        <v>54</v>
      </c>
      <c r="L6" s="2">
        <v>28</v>
      </c>
      <c r="M6" s="2">
        <v>54067</v>
      </c>
      <c r="N6" s="2">
        <v>51.787596870999998</v>
      </c>
      <c r="O6" s="55">
        <v>49.443824186999997</v>
      </c>
      <c r="P6" s="16">
        <v>34.122399639999998</v>
      </c>
      <c r="Q6" s="2">
        <v>71.644778091999996</v>
      </c>
      <c r="R6" s="2">
        <v>1.013114944</v>
      </c>
      <c r="S6" s="2">
        <v>0.63892306580000002</v>
      </c>
      <c r="T6" s="2">
        <v>1.6064561519</v>
      </c>
      <c r="U6" s="2">
        <v>0.95582278929999998</v>
      </c>
      <c r="V6" s="2">
        <v>28</v>
      </c>
      <c r="W6" s="2">
        <v>54067</v>
      </c>
      <c r="X6" s="2">
        <v>51.787596870999998</v>
      </c>
      <c r="Y6" s="55">
        <v>49.443824186999997</v>
      </c>
      <c r="Z6" s="2">
        <v>34.122399639999998</v>
      </c>
      <c r="AA6" s="2">
        <v>71.644778091999996</v>
      </c>
      <c r="AB6" s="2">
        <v>0.67918865399999995</v>
      </c>
      <c r="AC6" s="2">
        <v>0.45839514809999998</v>
      </c>
      <c r="AD6" s="2">
        <v>1.006330956</v>
      </c>
      <c r="AE6" s="1">
        <v>5.3792559900000002E-2</v>
      </c>
      <c r="AF6" s="2">
        <v>109</v>
      </c>
      <c r="AG6" s="2">
        <v>729958</v>
      </c>
      <c r="AH6" s="2">
        <v>14.932365971999999</v>
      </c>
      <c r="AI6" s="55">
        <v>13.017857202</v>
      </c>
      <c r="AJ6" s="2">
        <v>10.766919031</v>
      </c>
      <c r="AK6" s="2">
        <v>15.73937778</v>
      </c>
      <c r="AL6" s="2">
        <v>0.76981289249999996</v>
      </c>
      <c r="AM6" s="2">
        <v>0.61481219949999999</v>
      </c>
      <c r="AN6" s="2">
        <v>0.96389090830000002</v>
      </c>
      <c r="AO6" s="2">
        <v>2.2573944200000001E-2</v>
      </c>
      <c r="AP6" s="1">
        <v>3.7981538295999999</v>
      </c>
      <c r="AQ6" s="2">
        <v>2.5071692587999999</v>
      </c>
      <c r="AR6" s="2">
        <v>5.7538885587999999</v>
      </c>
      <c r="AS6" s="1">
        <v>3.031095E-10</v>
      </c>
      <c r="AT6" s="2" t="s">
        <v>54</v>
      </c>
      <c r="AU6" s="2" t="s">
        <v>54</v>
      </c>
      <c r="AV6" s="2" t="s">
        <v>54</v>
      </c>
      <c r="AW6" s="2" t="s">
        <v>54</v>
      </c>
      <c r="AX6" s="16" t="s">
        <v>54</v>
      </c>
      <c r="AY6" s="16" t="s">
        <v>54</v>
      </c>
      <c r="AZ6" s="16" t="s">
        <v>54</v>
      </c>
      <c r="BA6" s="16" t="s">
        <v>54</v>
      </c>
      <c r="BB6" s="16" t="s">
        <v>138</v>
      </c>
      <c r="BC6" s="16" t="s">
        <v>54</v>
      </c>
      <c r="BD6" s="16" t="s">
        <v>54</v>
      </c>
      <c r="BE6" s="16" t="s">
        <v>54</v>
      </c>
      <c r="BF6" s="16" t="s">
        <v>54</v>
      </c>
      <c r="BG6" s="16" t="s">
        <v>54</v>
      </c>
      <c r="BH6" s="16"/>
    </row>
    <row r="7" spans="1:74" s="2" customFormat="1" x14ac:dyDescent="0.25">
      <c r="A7" s="2" t="s">
        <v>90</v>
      </c>
      <c r="B7" s="2">
        <v>15</v>
      </c>
      <c r="C7" s="2">
        <v>18848</v>
      </c>
      <c r="D7" s="2">
        <v>79.584040747000003</v>
      </c>
      <c r="E7" s="55">
        <v>74.037556558999995</v>
      </c>
      <c r="F7" s="2">
        <v>44.614815311999998</v>
      </c>
      <c r="G7" s="2">
        <v>122.86411459999999</v>
      </c>
      <c r="H7" s="2">
        <v>0.86701510479999999</v>
      </c>
      <c r="I7" s="2">
        <v>0.51139415659999998</v>
      </c>
      <c r="J7" s="2">
        <v>1.4699330881999999</v>
      </c>
      <c r="K7" s="2">
        <v>0.59625730970000002</v>
      </c>
      <c r="L7" s="2" t="s">
        <v>54</v>
      </c>
      <c r="M7" s="2" t="s">
        <v>54</v>
      </c>
      <c r="N7" s="2" t="s">
        <v>54</v>
      </c>
      <c r="O7" s="55" t="s">
        <v>54</v>
      </c>
      <c r="P7" s="16" t="s">
        <v>54</v>
      </c>
      <c r="Q7" s="2" t="s">
        <v>54</v>
      </c>
      <c r="R7" s="2" t="s">
        <v>54</v>
      </c>
      <c r="S7" s="2" t="s">
        <v>54</v>
      </c>
      <c r="T7" s="2" t="s">
        <v>54</v>
      </c>
      <c r="U7" s="1" t="s">
        <v>54</v>
      </c>
      <c r="V7" s="2">
        <v>20</v>
      </c>
      <c r="W7" s="2">
        <v>29950</v>
      </c>
      <c r="X7" s="2">
        <v>66.777963271999994</v>
      </c>
      <c r="Y7" s="55">
        <v>62.362997024000002</v>
      </c>
      <c r="Z7" s="2">
        <v>40.213589345000003</v>
      </c>
      <c r="AA7" s="2">
        <v>96.712167730000004</v>
      </c>
      <c r="AB7" s="2">
        <v>0.85665380260000001</v>
      </c>
      <c r="AC7" s="2">
        <v>0.54205656459999996</v>
      </c>
      <c r="AD7" s="2">
        <v>1.3538360854</v>
      </c>
      <c r="AE7" s="2">
        <v>0.50758601479999998</v>
      </c>
      <c r="AF7" s="2">
        <v>31</v>
      </c>
      <c r="AG7" s="2">
        <v>168891</v>
      </c>
      <c r="AH7" s="2">
        <v>18.355033720000002</v>
      </c>
      <c r="AI7" s="55">
        <v>16.533016710999998</v>
      </c>
      <c r="AJ7" s="2">
        <v>11.617149217</v>
      </c>
      <c r="AK7" s="1">
        <v>23.529063494999999</v>
      </c>
      <c r="AL7" s="2">
        <v>0.97768236490000004</v>
      </c>
      <c r="AM7" s="2">
        <v>0.67320587379999997</v>
      </c>
      <c r="AN7" s="2">
        <v>1.4198670033</v>
      </c>
      <c r="AO7" s="2">
        <v>0.90562708300000005</v>
      </c>
      <c r="AP7" s="1">
        <v>3.7720277014999999</v>
      </c>
      <c r="AQ7" s="2">
        <v>2.1500041227</v>
      </c>
      <c r="AR7" s="2">
        <v>6.6177514872999996</v>
      </c>
      <c r="AS7" s="1">
        <v>3.6770922999999999E-6</v>
      </c>
      <c r="AT7" s="2">
        <v>1.7488132446</v>
      </c>
      <c r="AU7" s="2">
        <v>0.63560068449999996</v>
      </c>
      <c r="AV7" s="2">
        <v>4.8117439750999997</v>
      </c>
      <c r="AW7" s="2">
        <v>0.27908529450000003</v>
      </c>
      <c r="AX7" s="16" t="s">
        <v>54</v>
      </c>
      <c r="AY7" s="16" t="s">
        <v>54</v>
      </c>
      <c r="AZ7" s="16" t="s">
        <v>54</v>
      </c>
      <c r="BA7" s="16" t="s">
        <v>54</v>
      </c>
      <c r="BB7" s="16" t="s">
        <v>138</v>
      </c>
      <c r="BC7" s="16" t="s">
        <v>54</v>
      </c>
      <c r="BD7" s="16" t="s">
        <v>54</v>
      </c>
      <c r="BE7" s="16" t="s">
        <v>244</v>
      </c>
      <c r="BF7" s="16" t="s">
        <v>54</v>
      </c>
      <c r="BG7" s="16" t="s">
        <v>54</v>
      </c>
      <c r="BH7" s="16"/>
    </row>
    <row r="8" spans="1:74" s="2" customFormat="1" x14ac:dyDescent="0.25">
      <c r="A8" s="2" t="s">
        <v>91</v>
      </c>
      <c r="B8" s="2">
        <v>44</v>
      </c>
      <c r="C8" s="2">
        <v>45861</v>
      </c>
      <c r="D8" s="2">
        <v>95.942085868000007</v>
      </c>
      <c r="E8" s="55">
        <v>88.114010014000002</v>
      </c>
      <c r="F8" s="2">
        <v>65.515549516999997</v>
      </c>
      <c r="G8" s="1">
        <v>118.50742027</v>
      </c>
      <c r="H8" s="2">
        <v>1.0318570895000001</v>
      </c>
      <c r="I8" s="2">
        <v>0.74069618159999995</v>
      </c>
      <c r="J8" s="2">
        <v>1.4374706925</v>
      </c>
      <c r="K8" s="1">
        <v>0.85291507550000001</v>
      </c>
      <c r="L8" s="2" t="s">
        <v>54</v>
      </c>
      <c r="M8" s="2" t="s">
        <v>54</v>
      </c>
      <c r="N8" s="2" t="s">
        <v>54</v>
      </c>
      <c r="O8" s="55" t="s">
        <v>54</v>
      </c>
      <c r="P8" s="16" t="s">
        <v>54</v>
      </c>
      <c r="Q8" s="2" t="s">
        <v>54</v>
      </c>
      <c r="R8" s="2" t="s">
        <v>54</v>
      </c>
      <c r="S8" s="2" t="s">
        <v>54</v>
      </c>
      <c r="T8" s="2" t="s">
        <v>54</v>
      </c>
      <c r="U8" s="1" t="s">
        <v>54</v>
      </c>
      <c r="V8" s="2">
        <v>47</v>
      </c>
      <c r="W8" s="2">
        <v>52445</v>
      </c>
      <c r="X8" s="2">
        <v>89.617694728000004</v>
      </c>
      <c r="Y8" s="55">
        <v>82.038852575999996</v>
      </c>
      <c r="Z8" s="2">
        <v>61.582053389999999</v>
      </c>
      <c r="AA8" s="2">
        <v>109.29114834000001</v>
      </c>
      <c r="AB8" s="2">
        <v>1.1269326102999999</v>
      </c>
      <c r="AC8" s="2">
        <v>0.82255728650000004</v>
      </c>
      <c r="AD8" s="2">
        <v>1.5439375823000001</v>
      </c>
      <c r="AE8" s="2">
        <v>0.45692226149999998</v>
      </c>
      <c r="AF8" s="2">
        <v>21</v>
      </c>
      <c r="AG8" s="2">
        <v>109654</v>
      </c>
      <c r="AH8" s="2">
        <v>19.151148157000002</v>
      </c>
      <c r="AI8" s="55">
        <v>16.463433042999998</v>
      </c>
      <c r="AJ8" s="2">
        <v>10.723474656</v>
      </c>
      <c r="AK8" s="2">
        <v>25.275821154999999</v>
      </c>
      <c r="AL8" s="2">
        <v>0.97356752449999995</v>
      </c>
      <c r="AM8" s="2">
        <v>0.62373729970000003</v>
      </c>
      <c r="AN8" s="2">
        <v>1.5196040470000001</v>
      </c>
      <c r="AO8" s="1">
        <v>0.90612882829999997</v>
      </c>
      <c r="AP8" s="1">
        <v>4.9830951030000001</v>
      </c>
      <c r="AQ8" s="2">
        <v>2.9789231538999998</v>
      </c>
      <c r="AR8" s="2">
        <v>8.3356419493999994</v>
      </c>
      <c r="AS8" s="1">
        <v>9.4576039999999997E-10</v>
      </c>
      <c r="AT8" s="1">
        <v>2.1601511177999999</v>
      </c>
      <c r="AU8" s="2">
        <v>0.6707536999</v>
      </c>
      <c r="AV8" s="2">
        <v>6.9567306930999999</v>
      </c>
      <c r="AW8" s="1">
        <v>0.19680557479999999</v>
      </c>
      <c r="AX8" s="16" t="s">
        <v>54</v>
      </c>
      <c r="AY8" s="16" t="s">
        <v>54</v>
      </c>
      <c r="AZ8" s="16" t="s">
        <v>54</v>
      </c>
      <c r="BA8" s="16" t="s">
        <v>54</v>
      </c>
      <c r="BB8" s="16" t="s">
        <v>138</v>
      </c>
      <c r="BC8" s="16" t="s">
        <v>54</v>
      </c>
      <c r="BD8" s="16" t="s">
        <v>54</v>
      </c>
      <c r="BE8" s="16" t="s">
        <v>244</v>
      </c>
      <c r="BF8" s="16" t="s">
        <v>54</v>
      </c>
      <c r="BG8" s="16" t="s">
        <v>54</v>
      </c>
      <c r="BH8" s="16"/>
    </row>
    <row r="9" spans="1:74" s="2" customFormat="1" x14ac:dyDescent="0.25">
      <c r="A9" s="2" t="s">
        <v>92</v>
      </c>
      <c r="B9" s="2">
        <v>99</v>
      </c>
      <c r="C9" s="2">
        <v>103779</v>
      </c>
      <c r="D9" s="2">
        <v>95.395022114</v>
      </c>
      <c r="E9" s="55">
        <v>90.494477486999997</v>
      </c>
      <c r="F9" s="2">
        <v>74.247251407999997</v>
      </c>
      <c r="G9" s="1">
        <v>110.29701841000001</v>
      </c>
      <c r="H9" s="2">
        <v>1.0597334991</v>
      </c>
      <c r="I9" s="2">
        <v>0.82714477539999998</v>
      </c>
      <c r="J9" s="2">
        <v>1.3577249384000001</v>
      </c>
      <c r="K9" s="2">
        <v>0.64630619320000005</v>
      </c>
      <c r="L9" s="2">
        <v>10</v>
      </c>
      <c r="M9" s="2">
        <v>15849</v>
      </c>
      <c r="N9" s="2">
        <v>63.095463436000003</v>
      </c>
      <c r="O9" s="55">
        <v>59.700425500000001</v>
      </c>
      <c r="P9" s="16">
        <v>32.112087113999998</v>
      </c>
      <c r="Q9" s="2">
        <v>110.99063079</v>
      </c>
      <c r="R9" s="2">
        <v>1.2232749838999999</v>
      </c>
      <c r="S9" s="2">
        <v>0.62107041870000002</v>
      </c>
      <c r="T9" s="2">
        <v>2.4093913364000001</v>
      </c>
      <c r="U9" s="1">
        <v>0.56007937029999999</v>
      </c>
      <c r="V9" s="2">
        <v>109</v>
      </c>
      <c r="W9" s="2">
        <v>119628</v>
      </c>
      <c r="X9" s="2">
        <v>91.115792288999998</v>
      </c>
      <c r="Y9" s="55">
        <v>86.405593651000004</v>
      </c>
      <c r="Z9" s="2">
        <v>71.547657568999995</v>
      </c>
      <c r="AA9" s="2">
        <v>104.34900132</v>
      </c>
      <c r="AB9" s="2">
        <v>1.1869166636999999</v>
      </c>
      <c r="AC9" s="2">
        <v>0.94360511859999996</v>
      </c>
      <c r="AD9" s="2">
        <v>1.4929668554</v>
      </c>
      <c r="AE9" s="1">
        <v>0.14318645029999999</v>
      </c>
      <c r="AF9" s="2">
        <v>10</v>
      </c>
      <c r="AG9" s="2">
        <v>31210</v>
      </c>
      <c r="AH9" s="2">
        <v>32.041012496</v>
      </c>
      <c r="AI9" s="55">
        <v>28.844519283</v>
      </c>
      <c r="AJ9" s="2">
        <v>15.512352589000001</v>
      </c>
      <c r="AK9" s="2">
        <v>53.635081323999998</v>
      </c>
      <c r="AL9" s="2">
        <v>1.7057248728000001</v>
      </c>
      <c r="AM9" s="2">
        <v>0.90661666640000005</v>
      </c>
      <c r="AN9" s="2">
        <v>3.2091813991000002</v>
      </c>
      <c r="AO9" s="2">
        <v>9.7732426499999997E-2</v>
      </c>
      <c r="AP9" s="1">
        <v>2.9955636564999999</v>
      </c>
      <c r="AQ9" s="2">
        <v>1.5675372311</v>
      </c>
      <c r="AR9" s="2">
        <v>5.7245221623000004</v>
      </c>
      <c r="AS9" s="1">
        <v>8.9908230000000004E-4</v>
      </c>
      <c r="AT9" s="2">
        <v>1.5158095897999999</v>
      </c>
      <c r="AU9" s="2">
        <v>0.79104753530000005</v>
      </c>
      <c r="AV9" s="2">
        <v>2.9046025807999998</v>
      </c>
      <c r="AW9" s="2">
        <v>0.2100033567</v>
      </c>
      <c r="AX9" s="16" t="s">
        <v>54</v>
      </c>
      <c r="AY9" s="16" t="s">
        <v>54</v>
      </c>
      <c r="AZ9" s="16" t="s">
        <v>54</v>
      </c>
      <c r="BA9" s="16" t="s">
        <v>54</v>
      </c>
      <c r="BB9" s="16" t="s">
        <v>138</v>
      </c>
      <c r="BC9" s="16" t="s">
        <v>54</v>
      </c>
      <c r="BD9" s="16" t="s">
        <v>54</v>
      </c>
      <c r="BE9" s="16" t="s">
        <v>54</v>
      </c>
      <c r="BF9" s="16" t="s">
        <v>54</v>
      </c>
      <c r="BG9" s="16" t="s">
        <v>54</v>
      </c>
      <c r="BH9" s="16"/>
    </row>
    <row r="10" spans="1:74" s="2" customFormat="1" x14ac:dyDescent="0.25">
      <c r="A10" s="2" t="s">
        <v>186</v>
      </c>
      <c r="B10" s="2" t="s">
        <v>54</v>
      </c>
      <c r="C10" s="2" t="s">
        <v>54</v>
      </c>
      <c r="D10" s="2" t="s">
        <v>54</v>
      </c>
      <c r="E10" s="55" t="s">
        <v>54</v>
      </c>
      <c r="F10" s="2" t="s">
        <v>54</v>
      </c>
      <c r="G10" s="2" t="s">
        <v>54</v>
      </c>
      <c r="H10" s="2" t="s">
        <v>54</v>
      </c>
      <c r="I10" s="2" t="s">
        <v>54</v>
      </c>
      <c r="J10" s="2" t="s">
        <v>54</v>
      </c>
      <c r="K10" s="2" t="s">
        <v>54</v>
      </c>
      <c r="L10" s="2" t="s">
        <v>54</v>
      </c>
      <c r="M10" s="2" t="s">
        <v>54</v>
      </c>
      <c r="N10" s="2" t="s">
        <v>54</v>
      </c>
      <c r="O10" s="55" t="s">
        <v>54</v>
      </c>
      <c r="P10" s="16" t="s">
        <v>54</v>
      </c>
      <c r="Q10" s="2" t="s">
        <v>54</v>
      </c>
      <c r="R10" s="2" t="s">
        <v>54</v>
      </c>
      <c r="S10" s="2" t="s">
        <v>54</v>
      </c>
      <c r="T10" s="2" t="s">
        <v>54</v>
      </c>
      <c r="U10" s="1" t="s">
        <v>54</v>
      </c>
      <c r="V10" s="2" t="s">
        <v>54</v>
      </c>
      <c r="W10" s="2" t="s">
        <v>54</v>
      </c>
      <c r="X10" s="2" t="s">
        <v>54</v>
      </c>
      <c r="Y10" s="55" t="s">
        <v>54</v>
      </c>
      <c r="Z10" s="2" t="s">
        <v>54</v>
      </c>
      <c r="AA10" s="2" t="s">
        <v>54</v>
      </c>
      <c r="AB10" s="2" t="s">
        <v>54</v>
      </c>
      <c r="AC10" s="2" t="s">
        <v>54</v>
      </c>
      <c r="AD10" s="2" t="s">
        <v>54</v>
      </c>
      <c r="AE10" s="1" t="s">
        <v>54</v>
      </c>
      <c r="AF10" s="2">
        <v>9</v>
      </c>
      <c r="AG10" s="2">
        <v>9446</v>
      </c>
      <c r="AH10" s="2">
        <v>95.278424729999998</v>
      </c>
      <c r="AI10" s="55">
        <v>78.0553709</v>
      </c>
      <c r="AJ10" s="2">
        <v>40.579168094000003</v>
      </c>
      <c r="AK10" s="1">
        <v>150.14208551999999</v>
      </c>
      <c r="AL10" s="2">
        <v>4.6158157915000002</v>
      </c>
      <c r="AM10" s="2">
        <v>2.3738845426999999</v>
      </c>
      <c r="AN10" s="2">
        <v>8.9750596704000003</v>
      </c>
      <c r="AO10" s="1">
        <v>6.5395866999999996E-6</v>
      </c>
      <c r="AP10" s="1">
        <v>0.90381155440000005</v>
      </c>
      <c r="AQ10" s="2">
        <v>0.27832956679999998</v>
      </c>
      <c r="AR10" s="2">
        <v>2.9349211269</v>
      </c>
      <c r="AS10" s="2">
        <v>0.86635160410000001</v>
      </c>
      <c r="AT10" s="2" t="s">
        <v>54</v>
      </c>
      <c r="AU10" s="2" t="s">
        <v>54</v>
      </c>
      <c r="AV10" s="2" t="s">
        <v>54</v>
      </c>
      <c r="AW10" s="2" t="s">
        <v>54</v>
      </c>
      <c r="AX10" s="16" t="s">
        <v>54</v>
      </c>
      <c r="AY10" s="16" t="s">
        <v>54</v>
      </c>
      <c r="AZ10" s="16" t="s">
        <v>54</v>
      </c>
      <c r="BA10" s="16" t="s">
        <v>165</v>
      </c>
      <c r="BB10" s="16" t="s">
        <v>54</v>
      </c>
      <c r="BC10" s="16" t="s">
        <v>54</v>
      </c>
      <c r="BD10" s="16" t="s">
        <v>54</v>
      </c>
      <c r="BE10" s="16" t="s">
        <v>244</v>
      </c>
      <c r="BF10" s="16" t="s">
        <v>244</v>
      </c>
      <c r="BG10" s="16" t="s">
        <v>54</v>
      </c>
      <c r="BH10" s="16"/>
    </row>
    <row r="11" spans="1:74" x14ac:dyDescent="0.25">
      <c r="A11" s="2" t="s">
        <v>55</v>
      </c>
      <c r="B11" s="2">
        <v>170</v>
      </c>
      <c r="C11" s="2">
        <v>186657</v>
      </c>
      <c r="D11" s="2">
        <v>91.076145014999994</v>
      </c>
      <c r="E11" s="55">
        <v>85.393617887000005</v>
      </c>
      <c r="F11" s="2">
        <v>73.375208357999995</v>
      </c>
      <c r="G11" s="2">
        <v>99.380569256000001</v>
      </c>
      <c r="H11" s="2" t="s">
        <v>54</v>
      </c>
      <c r="I11" s="2" t="s">
        <v>54</v>
      </c>
      <c r="J11" s="2" t="s">
        <v>54</v>
      </c>
      <c r="K11" s="2" t="s">
        <v>54</v>
      </c>
      <c r="L11" s="2">
        <v>51</v>
      </c>
      <c r="M11" s="2">
        <v>97763</v>
      </c>
      <c r="N11" s="2">
        <v>52.166975235999999</v>
      </c>
      <c r="O11" s="55">
        <v>48.803765536</v>
      </c>
      <c r="P11" s="16">
        <v>37.060697400999999</v>
      </c>
      <c r="Q11" s="2">
        <v>64.267747172</v>
      </c>
      <c r="R11" s="2" t="s">
        <v>54</v>
      </c>
      <c r="S11" s="2" t="s">
        <v>54</v>
      </c>
      <c r="T11" s="2" t="s">
        <v>54</v>
      </c>
      <c r="U11" s="2" t="s">
        <v>54</v>
      </c>
      <c r="V11" s="2">
        <v>221</v>
      </c>
      <c r="W11" s="2">
        <v>284420</v>
      </c>
      <c r="X11" s="2">
        <v>77.701990015000007</v>
      </c>
      <c r="Y11" s="55">
        <v>72.798365958999995</v>
      </c>
      <c r="Z11" s="2">
        <v>63.705127914999998</v>
      </c>
      <c r="AA11" s="2">
        <v>83.189568245999993</v>
      </c>
      <c r="AB11" s="2" t="s">
        <v>54</v>
      </c>
      <c r="AC11" s="2" t="s">
        <v>54</v>
      </c>
      <c r="AD11" s="2" t="s">
        <v>54</v>
      </c>
      <c r="AE11" s="2" t="s">
        <v>54</v>
      </c>
      <c r="AF11" s="2">
        <v>251</v>
      </c>
      <c r="AG11" s="2">
        <v>1307481</v>
      </c>
      <c r="AH11" s="2">
        <v>19.197219692000001</v>
      </c>
      <c r="AI11" s="55">
        <v>16.910417232</v>
      </c>
      <c r="AJ11" s="2">
        <v>14.899036970999999</v>
      </c>
      <c r="AK11" s="2">
        <v>19.193335214000001</v>
      </c>
      <c r="AL11" s="2" t="s">
        <v>54</v>
      </c>
      <c r="AM11" s="2" t="s">
        <v>54</v>
      </c>
      <c r="AN11" s="2" t="s">
        <v>54</v>
      </c>
      <c r="AO11" s="2" t="s">
        <v>54</v>
      </c>
      <c r="AP11" s="1">
        <v>4.3049420342999998</v>
      </c>
      <c r="AQ11" s="2">
        <v>3.5925085721999999</v>
      </c>
      <c r="AR11" s="2">
        <v>5.1586587884000004</v>
      </c>
      <c r="AS11" s="1">
        <v>2.4637559999999999E-56</v>
      </c>
      <c r="AT11" s="2">
        <v>1.7497342049</v>
      </c>
      <c r="AU11" s="2">
        <v>1.2795903137</v>
      </c>
      <c r="AV11" s="2">
        <v>2.3926171956000002</v>
      </c>
      <c r="AW11" s="1">
        <v>4.5808550000000001E-4</v>
      </c>
      <c r="AX11" s="16" t="s">
        <v>54</v>
      </c>
      <c r="AY11" s="16" t="s">
        <v>54</v>
      </c>
      <c r="AZ11" s="16" t="s">
        <v>54</v>
      </c>
      <c r="BA11" s="16" t="s">
        <v>54</v>
      </c>
      <c r="BB11" s="16" t="s">
        <v>138</v>
      </c>
      <c r="BC11" s="16" t="s">
        <v>166</v>
      </c>
      <c r="BD11" s="16" t="s">
        <v>54</v>
      </c>
      <c r="BE11" s="16" t="s">
        <v>54</v>
      </c>
      <c r="BF11" s="16" t="s">
        <v>54</v>
      </c>
      <c r="BG11" s="16" t="s">
        <v>54</v>
      </c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1"/>
      <c r="AQ12" s="2"/>
      <c r="AR12" s="2"/>
      <c r="AS12" s="2"/>
      <c r="AT12" s="2"/>
      <c r="AU12" s="2"/>
      <c r="AV12" s="2"/>
      <c r="AW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x14ac:dyDescent="0.25">
      <c r="A13" s="2" t="s">
        <v>56</v>
      </c>
      <c r="B13" s="77" t="s">
        <v>258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x14ac:dyDescent="0.25">
      <c r="A14" s="2" t="s">
        <v>57</v>
      </c>
      <c r="B14" s="28">
        <v>43801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</row>
    <row r="22" spans="41:45" x14ac:dyDescent="0.25">
      <c r="AS22" s="1"/>
    </row>
    <row r="23" spans="41:45" x14ac:dyDescent="0.25">
      <c r="AS23" s="1"/>
    </row>
    <row r="24" spans="41:45" x14ac:dyDescent="0.25">
      <c r="AS24" s="1"/>
    </row>
    <row r="26" spans="41:45" x14ac:dyDescent="0.25">
      <c r="AO26" s="1"/>
    </row>
    <row r="27" spans="41:45" x14ac:dyDescent="0.25">
      <c r="AS27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31"/>
  <sheetViews>
    <sheetView workbookViewId="0"/>
  </sheetViews>
  <sheetFormatPr defaultRowHeight="15" x14ac:dyDescent="0.25"/>
  <cols>
    <col min="1" max="1" width="17.7109375" customWidth="1"/>
    <col min="2" max="2" width="15.85546875" customWidth="1"/>
    <col min="3" max="3" width="10.42578125" customWidth="1"/>
    <col min="4" max="4" width="13.85546875" customWidth="1"/>
    <col min="5" max="5" width="12.85546875" customWidth="1"/>
    <col min="6" max="6" width="13.28515625" customWidth="1"/>
    <col min="7" max="7" width="12" customWidth="1"/>
    <col min="8" max="8" width="14" customWidth="1"/>
    <col min="9" max="11" width="12" customWidth="1"/>
    <col min="12" max="15" width="12" style="2" customWidth="1"/>
    <col min="16" max="16" width="12.5703125" customWidth="1"/>
    <col min="17" max="17" width="22.28515625" style="57" bestFit="1" customWidth="1"/>
    <col min="18" max="18" width="8.42578125" style="57" bestFit="1" customWidth="1"/>
    <col min="19" max="19" width="26.7109375" style="57" bestFit="1" customWidth="1"/>
  </cols>
  <sheetData>
    <row r="1" spans="1:19" s="2" customFormat="1" x14ac:dyDescent="0.25">
      <c r="A1" s="2" t="s">
        <v>187</v>
      </c>
      <c r="Q1" s="57"/>
      <c r="R1" s="57"/>
      <c r="S1" s="57"/>
    </row>
    <row r="2" spans="1:19" s="2" customFormat="1" x14ac:dyDescent="0.25">
      <c r="A2" s="2" t="s">
        <v>167</v>
      </c>
      <c r="Q2" s="57"/>
      <c r="R2" s="57"/>
      <c r="S2" s="57"/>
    </row>
    <row r="3" spans="1:19" s="2" customFormat="1" x14ac:dyDescent="0.25">
      <c r="A3" s="2" t="s">
        <v>168</v>
      </c>
      <c r="Q3" s="57"/>
      <c r="R3" s="57"/>
      <c r="S3" s="57"/>
    </row>
    <row r="4" spans="1:19" s="2" customFormat="1" x14ac:dyDescent="0.25">
      <c r="A4" s="2" t="s">
        <v>59</v>
      </c>
      <c r="B4" s="2" t="s">
        <v>188</v>
      </c>
      <c r="C4" s="2" t="s">
        <v>60</v>
      </c>
      <c r="D4" s="2" t="s">
        <v>63</v>
      </c>
      <c r="E4" s="2" t="s">
        <v>61</v>
      </c>
      <c r="F4" s="2" t="s">
        <v>62</v>
      </c>
      <c r="G4" s="2" t="s">
        <v>189</v>
      </c>
      <c r="H4" s="2" t="s">
        <v>190</v>
      </c>
      <c r="I4" s="2" t="s">
        <v>191</v>
      </c>
      <c r="J4" s="2" t="s">
        <v>192</v>
      </c>
      <c r="K4" s="2" t="s">
        <v>193</v>
      </c>
      <c r="L4" s="2" t="s">
        <v>194</v>
      </c>
      <c r="M4" s="2" t="s">
        <v>141</v>
      </c>
      <c r="N4" s="2" t="s">
        <v>142</v>
      </c>
      <c r="O4" s="2" t="s">
        <v>143</v>
      </c>
      <c r="P4" s="2" t="s">
        <v>195</v>
      </c>
      <c r="Q4" s="57" t="s">
        <v>196</v>
      </c>
      <c r="R4" s="57" t="s">
        <v>137</v>
      </c>
      <c r="S4" s="57" t="s">
        <v>197</v>
      </c>
    </row>
    <row r="5" spans="1:19" s="2" customFormat="1" x14ac:dyDescent="0.25">
      <c r="A5" s="2" t="s">
        <v>198</v>
      </c>
      <c r="B5" s="2">
        <v>0</v>
      </c>
      <c r="C5" s="2">
        <v>10</v>
      </c>
      <c r="D5" s="1">
        <v>5.6267586999999995E-7</v>
      </c>
      <c r="E5" s="1">
        <v>5.1575905E-7</v>
      </c>
      <c r="F5" s="2">
        <v>0</v>
      </c>
      <c r="G5" s="1" t="s">
        <v>54</v>
      </c>
      <c r="H5" s="1">
        <v>4.2504182999999997E-8</v>
      </c>
      <c r="I5" s="2">
        <v>0</v>
      </c>
      <c r="J5" s="2" t="s">
        <v>199</v>
      </c>
      <c r="K5" s="2">
        <v>0.99697022680000003</v>
      </c>
      <c r="L5" s="2" t="s">
        <v>54</v>
      </c>
      <c r="M5" s="2">
        <v>3537019.4</v>
      </c>
      <c r="N5" s="2">
        <v>0</v>
      </c>
      <c r="O5" s="2" t="s">
        <v>199</v>
      </c>
      <c r="P5" s="2">
        <v>0.9973084566</v>
      </c>
      <c r="Q5" s="57" t="s">
        <v>54</v>
      </c>
      <c r="R5" s="57" t="s">
        <v>54</v>
      </c>
      <c r="S5" s="57" t="s">
        <v>54</v>
      </c>
    </row>
    <row r="6" spans="1:19" s="2" customFormat="1" x14ac:dyDescent="0.25">
      <c r="A6" s="2" t="s">
        <v>7</v>
      </c>
      <c r="B6" s="2">
        <v>11</v>
      </c>
      <c r="C6" s="2">
        <v>603</v>
      </c>
      <c r="D6" s="2">
        <v>1.824212272</v>
      </c>
      <c r="E6" s="2">
        <v>1.8242497624</v>
      </c>
      <c r="F6" s="2">
        <v>1.0035804292999999</v>
      </c>
      <c r="G6" s="1">
        <v>3.3160144403</v>
      </c>
      <c r="H6" s="2">
        <v>0.1503381204</v>
      </c>
      <c r="I6" s="2">
        <v>8.2132740999999995E-2</v>
      </c>
      <c r="J6" s="2">
        <v>0.27518319940000002</v>
      </c>
      <c r="K6" s="1">
        <v>8.0874299999999996E-10</v>
      </c>
      <c r="L6" s="2">
        <v>1</v>
      </c>
      <c r="M6" s="2" t="s">
        <v>54</v>
      </c>
      <c r="N6" s="2" t="s">
        <v>54</v>
      </c>
      <c r="O6" s="2" t="s">
        <v>54</v>
      </c>
      <c r="P6" s="2" t="s">
        <v>54</v>
      </c>
      <c r="Q6" s="57" t="s">
        <v>166</v>
      </c>
      <c r="R6" s="57" t="s">
        <v>54</v>
      </c>
      <c r="S6" s="57" t="s">
        <v>54</v>
      </c>
    </row>
    <row r="7" spans="1:19" s="2" customFormat="1" x14ac:dyDescent="0.25">
      <c r="A7" s="2" t="s">
        <v>10</v>
      </c>
      <c r="B7" s="2">
        <v>2681</v>
      </c>
      <c r="C7" s="2">
        <v>23210</v>
      </c>
      <c r="D7" s="2">
        <v>11.551055579</v>
      </c>
      <c r="E7" s="2">
        <v>11.475378329</v>
      </c>
      <c r="F7" s="2">
        <v>10.438170980000001</v>
      </c>
      <c r="G7" s="1">
        <v>12.615649622999999</v>
      </c>
      <c r="H7" s="2">
        <v>0.94569660619999996</v>
      </c>
      <c r="I7" s="2">
        <v>0.82900503189999997</v>
      </c>
      <c r="J7" s="2">
        <v>1.0788138027</v>
      </c>
      <c r="K7" s="2">
        <v>0.40600550079999997</v>
      </c>
      <c r="L7" s="2" t="s">
        <v>54</v>
      </c>
      <c r="M7" s="2">
        <v>0.1589707729</v>
      </c>
      <c r="N7" s="2">
        <v>8.6806942400000003E-2</v>
      </c>
      <c r="O7" s="2">
        <v>0.29112540930000003</v>
      </c>
      <c r="P7" s="1">
        <v>2.5624608000000001E-9</v>
      </c>
      <c r="Q7" s="57" t="s">
        <v>54</v>
      </c>
      <c r="R7" s="57" t="s">
        <v>138</v>
      </c>
      <c r="S7" s="57" t="s">
        <v>54</v>
      </c>
    </row>
    <row r="8" spans="1:19" s="2" customFormat="1" x14ac:dyDescent="0.25">
      <c r="A8" s="2" t="s">
        <v>9</v>
      </c>
      <c r="B8" s="2">
        <v>241</v>
      </c>
      <c r="C8" s="2">
        <v>1900</v>
      </c>
      <c r="D8" s="2">
        <v>12.684210525999999</v>
      </c>
      <c r="E8" s="2">
        <v>12.607663541000001</v>
      </c>
      <c r="F8" s="2">
        <v>10.809449735999999</v>
      </c>
      <c r="G8" s="1">
        <v>14.7050205</v>
      </c>
      <c r="H8" s="2">
        <v>1.0390092841</v>
      </c>
      <c r="I8" s="2">
        <v>0.8687151702</v>
      </c>
      <c r="J8" s="2">
        <v>1.2426861296</v>
      </c>
      <c r="K8" s="2">
        <v>0.67522014370000005</v>
      </c>
      <c r="L8" s="2" t="s">
        <v>54</v>
      </c>
      <c r="M8" s="2">
        <v>0.14469372189999999</v>
      </c>
      <c r="N8" s="2">
        <v>7.8067075099999994E-2</v>
      </c>
      <c r="O8" s="2">
        <v>0.26818313780000003</v>
      </c>
      <c r="P8" s="1">
        <v>8.2366060000000001E-10</v>
      </c>
      <c r="Q8" s="57" t="s">
        <v>54</v>
      </c>
      <c r="R8" s="57" t="s">
        <v>138</v>
      </c>
      <c r="S8" s="57" t="s">
        <v>54</v>
      </c>
    </row>
    <row r="9" spans="1:19" s="2" customFormat="1" x14ac:dyDescent="0.25">
      <c r="A9" s="2" t="s">
        <v>6</v>
      </c>
      <c r="B9" s="2">
        <v>913</v>
      </c>
      <c r="C9" s="2">
        <v>6299</v>
      </c>
      <c r="D9" s="2">
        <v>14.494364185</v>
      </c>
      <c r="E9" s="2">
        <v>14.330808101000001</v>
      </c>
      <c r="F9" s="2">
        <v>12.856805644</v>
      </c>
      <c r="G9" s="1">
        <v>15.973801463999999</v>
      </c>
      <c r="H9" s="2">
        <v>1.1810152306999999</v>
      </c>
      <c r="I9" s="2">
        <v>1.0247021631</v>
      </c>
      <c r="J9" s="2">
        <v>1.3611730564</v>
      </c>
      <c r="K9" s="2">
        <v>2.1627927599999999E-2</v>
      </c>
      <c r="L9" s="2" t="s">
        <v>54</v>
      </c>
      <c r="M9" s="2">
        <v>0.12729566610000001</v>
      </c>
      <c r="N9" s="2">
        <v>0.23366075559999999</v>
      </c>
      <c r="O9" s="2">
        <v>6.9349200499999999E-2</v>
      </c>
      <c r="P9" s="1">
        <v>2.897283E-11</v>
      </c>
      <c r="Q9" s="57" t="s">
        <v>54</v>
      </c>
      <c r="R9" s="57" t="s">
        <v>138</v>
      </c>
      <c r="S9" s="57" t="s">
        <v>54</v>
      </c>
    </row>
    <row r="10" spans="1:19" s="2" customFormat="1" x14ac:dyDescent="0.25">
      <c r="A10" s="2" t="s">
        <v>8</v>
      </c>
      <c r="B10" s="2">
        <v>452</v>
      </c>
      <c r="C10" s="2">
        <v>3364</v>
      </c>
      <c r="D10" s="2">
        <v>13.436385255999999</v>
      </c>
      <c r="E10" s="2">
        <v>13.472510433</v>
      </c>
      <c r="F10" s="2">
        <v>11.866428458</v>
      </c>
      <c r="G10" s="1">
        <v>15.295970308999999</v>
      </c>
      <c r="H10" s="2">
        <v>1.1102821213</v>
      </c>
      <c r="I10" s="2">
        <v>0.94944419359999999</v>
      </c>
      <c r="J10" s="2">
        <v>1.2983663463999999</v>
      </c>
      <c r="K10" s="2">
        <v>0.19012113789999999</v>
      </c>
      <c r="L10" s="2" t="s">
        <v>54</v>
      </c>
      <c r="M10" s="2">
        <v>0.1354053331</v>
      </c>
      <c r="N10" s="2">
        <v>7.3504926100000006E-2</v>
      </c>
      <c r="O10" s="2">
        <v>0.24943367999999999</v>
      </c>
      <c r="P10" s="1">
        <v>1.4103499999999999E-10</v>
      </c>
      <c r="Q10" s="57" t="s">
        <v>54</v>
      </c>
      <c r="R10" s="57" t="s">
        <v>138</v>
      </c>
      <c r="S10" s="57" t="s">
        <v>54</v>
      </c>
    </row>
    <row r="11" spans="1:19" s="2" customFormat="1" x14ac:dyDescent="0.25">
      <c r="A11" s="2" t="s">
        <v>5</v>
      </c>
      <c r="B11" s="2">
        <v>54</v>
      </c>
      <c r="C11" s="2">
        <v>456</v>
      </c>
      <c r="D11" s="2">
        <v>11.842105263000001</v>
      </c>
      <c r="E11" s="2">
        <v>11.908761275</v>
      </c>
      <c r="F11" s="2">
        <v>8.9870690969999991</v>
      </c>
      <c r="G11" s="2">
        <v>15.780294285</v>
      </c>
      <c r="H11" s="2">
        <v>0.98141209809999996</v>
      </c>
      <c r="I11" s="2">
        <v>0.72998523270000004</v>
      </c>
      <c r="J11" s="2">
        <v>1.3194372476</v>
      </c>
      <c r="K11" s="2">
        <v>0.90111619769999995</v>
      </c>
      <c r="L11" s="2" t="s">
        <v>54</v>
      </c>
      <c r="M11" s="2">
        <v>0.1531855178</v>
      </c>
      <c r="N11" s="2">
        <v>0.2965395622</v>
      </c>
      <c r="O11" s="2">
        <v>7.9132115399999994E-2</v>
      </c>
      <c r="P11" s="1">
        <v>2.5933417999999999E-8</v>
      </c>
      <c r="Q11" s="57" t="s">
        <v>54</v>
      </c>
      <c r="R11" s="57" t="s">
        <v>138</v>
      </c>
      <c r="S11" s="57" t="s">
        <v>54</v>
      </c>
    </row>
    <row r="12" spans="1:19" s="2" customFormat="1" x14ac:dyDescent="0.25">
      <c r="A12" s="2" t="s">
        <v>200</v>
      </c>
      <c r="B12" s="2">
        <v>169</v>
      </c>
      <c r="C12" s="2">
        <v>1160</v>
      </c>
      <c r="D12" s="2">
        <v>14.568965517000001</v>
      </c>
      <c r="E12" s="2">
        <v>14.48878668</v>
      </c>
      <c r="F12" s="2">
        <v>12.165810162</v>
      </c>
      <c r="G12" s="2">
        <v>17.255319346</v>
      </c>
      <c r="H12" s="2">
        <v>1.1940343925000001</v>
      </c>
      <c r="I12" s="2">
        <v>0.98030894749999997</v>
      </c>
      <c r="J12" s="2">
        <v>1.4543559292999999</v>
      </c>
      <c r="K12" s="2">
        <v>7.8013871299999996E-2</v>
      </c>
      <c r="L12" s="2" t="s">
        <v>54</v>
      </c>
      <c r="M12" s="2">
        <v>0.1259076969</v>
      </c>
      <c r="N12" s="2">
        <v>6.7557286699999997E-2</v>
      </c>
      <c r="O12" s="2">
        <v>0.2346563774</v>
      </c>
      <c r="P12" s="1">
        <v>6.8616550000000003E-11</v>
      </c>
      <c r="Q12" s="57" t="s">
        <v>54</v>
      </c>
      <c r="R12" s="57" t="s">
        <v>138</v>
      </c>
      <c r="S12" s="57" t="s">
        <v>54</v>
      </c>
    </row>
    <row r="13" spans="1:19" s="2" customFormat="1" x14ac:dyDescent="0.25">
      <c r="A13" s="2" t="s">
        <v>64</v>
      </c>
      <c r="B13" s="2">
        <v>4521</v>
      </c>
      <c r="C13" s="2">
        <v>37002</v>
      </c>
      <c r="D13" s="2">
        <v>12.218258473000001</v>
      </c>
      <c r="E13" s="2">
        <v>12.134312689</v>
      </c>
      <c r="F13" s="2">
        <v>11.072837234</v>
      </c>
      <c r="G13" s="2">
        <v>13.297544372000001</v>
      </c>
      <c r="H13" s="2" t="s">
        <v>54</v>
      </c>
      <c r="I13" s="2" t="s">
        <v>54</v>
      </c>
      <c r="J13" s="2" t="s">
        <v>54</v>
      </c>
      <c r="K13" s="2" t="s">
        <v>54</v>
      </c>
      <c r="L13" s="2" t="s">
        <v>54</v>
      </c>
      <c r="M13" s="2" t="s">
        <v>54</v>
      </c>
      <c r="N13" s="2" t="s">
        <v>54</v>
      </c>
      <c r="O13" s="2" t="s">
        <v>54</v>
      </c>
      <c r="P13" s="2" t="s">
        <v>54</v>
      </c>
      <c r="Q13" s="57" t="s">
        <v>54</v>
      </c>
      <c r="R13" s="57" t="s">
        <v>54</v>
      </c>
      <c r="S13" s="57" t="s">
        <v>54</v>
      </c>
    </row>
    <row r="14" spans="1:19" s="2" customFormat="1" x14ac:dyDescent="0.25">
      <c r="Q14" s="57"/>
      <c r="R14" s="57"/>
      <c r="S14" s="57"/>
    </row>
    <row r="15" spans="1:19" s="2" customFormat="1" x14ac:dyDescent="0.25">
      <c r="A15" s="2" t="s">
        <v>201</v>
      </c>
      <c r="Q15" s="57"/>
      <c r="R15" s="57"/>
      <c r="S15" s="57"/>
    </row>
    <row r="16" spans="1:19" x14ac:dyDescent="0.25">
      <c r="A16" t="s">
        <v>57</v>
      </c>
      <c r="B16" s="28">
        <v>43397</v>
      </c>
    </row>
    <row r="19" spans="2:16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P19" s="2"/>
    </row>
    <row r="24" spans="2:16" x14ac:dyDescent="0.25">
      <c r="D24" s="1"/>
      <c r="E24" s="1"/>
      <c r="G24" s="1"/>
      <c r="H24" s="1"/>
    </row>
    <row r="25" spans="2:16" x14ac:dyDescent="0.25">
      <c r="G25" s="1"/>
      <c r="K25" s="1"/>
    </row>
    <row r="26" spans="2:16" x14ac:dyDescent="0.25">
      <c r="G26" s="1"/>
      <c r="P26" s="1"/>
    </row>
    <row r="27" spans="2:16" x14ac:dyDescent="0.25">
      <c r="G27" s="1"/>
      <c r="P27" s="1"/>
    </row>
    <row r="28" spans="2:16" x14ac:dyDescent="0.25">
      <c r="G28" s="1"/>
      <c r="P28" s="1"/>
    </row>
    <row r="29" spans="2:16" x14ac:dyDescent="0.25">
      <c r="G29" s="1"/>
      <c r="P29" s="1"/>
    </row>
    <row r="30" spans="2:16" x14ac:dyDescent="0.25">
      <c r="P30" s="1"/>
    </row>
    <row r="31" spans="2:16" x14ac:dyDescent="0.25">
      <c r="P31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C61"/>
  <sheetViews>
    <sheetView workbookViewId="0">
      <selection activeCell="B16" sqref="B16"/>
    </sheetView>
  </sheetViews>
  <sheetFormatPr defaultRowHeight="15" x14ac:dyDescent="0.25"/>
  <cols>
    <col min="1" max="1" width="36.5703125" customWidth="1"/>
    <col min="2" max="2" width="10.7109375" customWidth="1"/>
    <col min="3" max="3" width="10.140625" bestFit="1" customWidth="1"/>
    <col min="4" max="4" width="14.140625" bestFit="1" customWidth="1"/>
    <col min="5" max="5" width="12.7109375" bestFit="1" customWidth="1"/>
    <col min="6" max="6" width="13.28515625" bestFit="1" customWidth="1"/>
    <col min="7" max="7" width="23.7109375" bestFit="1" customWidth="1"/>
    <col min="8" max="8" width="22.5703125" bestFit="1" customWidth="1"/>
    <col min="9" max="9" width="23.140625" bestFit="1" customWidth="1"/>
    <col min="10" max="10" width="22.28515625" bestFit="1" customWidth="1"/>
    <col min="11" max="11" width="9.5703125" style="2" bestFit="1" customWidth="1"/>
    <col min="12" max="14" width="12" style="2" bestFit="1" customWidth="1"/>
    <col min="15" max="15" width="12" bestFit="1" customWidth="1"/>
    <col min="16" max="16" width="21.85546875" style="2" bestFit="1" customWidth="1"/>
    <col min="17" max="17" width="20.5703125" bestFit="1" customWidth="1"/>
    <col min="18" max="18" width="26.140625" bestFit="1" customWidth="1"/>
    <col min="19" max="19" width="20.28515625" bestFit="1" customWidth="1"/>
    <col min="20" max="20" width="10.28515625" bestFit="1" customWidth="1"/>
    <col min="21" max="21" width="8.42578125" bestFit="1" customWidth="1"/>
    <col min="22" max="22" width="19.7109375" bestFit="1" customWidth="1"/>
    <col min="23" max="23" width="14.7109375" bestFit="1" customWidth="1"/>
    <col min="24" max="24" width="12.7109375" bestFit="1" customWidth="1"/>
    <col min="25" max="25" width="24.140625" bestFit="1" customWidth="1"/>
  </cols>
  <sheetData>
    <row r="1" spans="1:29" x14ac:dyDescent="0.25">
      <c r="A1" s="2" t="s">
        <v>245</v>
      </c>
      <c r="B1" s="2"/>
      <c r="C1" s="2"/>
      <c r="D1" s="2"/>
      <c r="E1" s="2"/>
      <c r="F1" s="2"/>
      <c r="G1" s="2"/>
      <c r="H1" s="2"/>
      <c r="I1" s="2"/>
      <c r="J1" s="2"/>
      <c r="O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x14ac:dyDescent="0.25">
      <c r="A2" s="2" t="s">
        <v>262</v>
      </c>
      <c r="B2" s="2"/>
      <c r="C2" s="2"/>
      <c r="D2" s="2"/>
      <c r="E2" s="2"/>
      <c r="F2" s="2"/>
      <c r="G2" s="2"/>
      <c r="H2" s="2"/>
      <c r="I2" s="2"/>
      <c r="J2" s="2"/>
      <c r="O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x14ac:dyDescent="0.25">
      <c r="A3" s="2" t="s">
        <v>263</v>
      </c>
      <c r="B3" s="2"/>
      <c r="C3" s="2"/>
      <c r="D3" s="2"/>
      <c r="E3" s="2"/>
      <c r="F3" s="2"/>
      <c r="G3" s="2"/>
      <c r="H3" s="2"/>
      <c r="I3" s="2"/>
      <c r="J3" s="2"/>
      <c r="O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x14ac:dyDescent="0.25">
      <c r="A4" s="2" t="s">
        <v>65</v>
      </c>
      <c r="B4" s="2" t="s">
        <v>246</v>
      </c>
      <c r="C4" s="2" t="s">
        <v>202</v>
      </c>
      <c r="D4" s="2" t="s">
        <v>203</v>
      </c>
      <c r="E4" s="2" t="s">
        <v>247</v>
      </c>
      <c r="F4" s="2" t="s">
        <v>248</v>
      </c>
      <c r="G4" s="2" t="s">
        <v>214</v>
      </c>
      <c r="H4" s="2" t="s">
        <v>215</v>
      </c>
      <c r="I4" s="2" t="s">
        <v>216</v>
      </c>
      <c r="J4" s="2" t="s">
        <v>217</v>
      </c>
      <c r="K4" s="2" t="s">
        <v>204</v>
      </c>
      <c r="L4" s="2" t="s">
        <v>141</v>
      </c>
      <c r="M4" s="2" t="s">
        <v>142</v>
      </c>
      <c r="N4" s="2" t="s">
        <v>143</v>
      </c>
      <c r="O4" s="2" t="s">
        <v>195</v>
      </c>
      <c r="P4" s="2" t="s">
        <v>218</v>
      </c>
      <c r="Q4" s="2" t="s">
        <v>219</v>
      </c>
      <c r="R4" s="2" t="s">
        <v>220</v>
      </c>
      <c r="S4" s="2" t="s">
        <v>221</v>
      </c>
      <c r="T4" s="2" t="s">
        <v>222</v>
      </c>
      <c r="U4" s="2" t="s">
        <v>137</v>
      </c>
      <c r="V4" s="2" t="s">
        <v>223</v>
      </c>
      <c r="W4" s="2" t="s">
        <v>224</v>
      </c>
      <c r="X4" s="2" t="s">
        <v>225</v>
      </c>
      <c r="Y4" s="2" t="s">
        <v>226</v>
      </c>
      <c r="Z4" s="2"/>
      <c r="AA4" s="2"/>
      <c r="AB4" s="2"/>
      <c r="AC4" s="2"/>
    </row>
    <row r="5" spans="1:29" x14ac:dyDescent="0.25">
      <c r="A5" s="2" t="s">
        <v>206</v>
      </c>
      <c r="B5" s="2">
        <v>7</v>
      </c>
      <c r="C5" s="2">
        <v>13841</v>
      </c>
      <c r="D5" s="2">
        <v>50.574380464000001</v>
      </c>
      <c r="E5" s="2">
        <v>24.110522865</v>
      </c>
      <c r="F5" s="2">
        <v>106.08513028</v>
      </c>
      <c r="G5" s="2">
        <v>0.55529777260000002</v>
      </c>
      <c r="H5" s="2">
        <v>0.26076246469999997</v>
      </c>
      <c r="I5" s="2">
        <v>1.1825153465</v>
      </c>
      <c r="J5" s="2">
        <v>0.1271894623</v>
      </c>
      <c r="K5" s="2">
        <v>1</v>
      </c>
      <c r="L5" s="2" t="s">
        <v>54</v>
      </c>
      <c r="M5" s="2" t="s">
        <v>54</v>
      </c>
      <c r="N5" s="2" t="s">
        <v>54</v>
      </c>
      <c r="O5" s="2" t="s">
        <v>54</v>
      </c>
      <c r="P5" s="2">
        <v>1.0554873202999999</v>
      </c>
      <c r="Q5" s="2">
        <v>0.35472206109999999</v>
      </c>
      <c r="R5" s="2">
        <v>3.1406377141999999</v>
      </c>
      <c r="S5" s="2">
        <v>0.92267392699999995</v>
      </c>
      <c r="T5" s="2" t="s">
        <v>54</v>
      </c>
      <c r="U5" s="2" t="s">
        <v>54</v>
      </c>
      <c r="V5" s="2" t="s">
        <v>54</v>
      </c>
      <c r="W5" s="2" t="s">
        <v>54</v>
      </c>
      <c r="X5" s="2" t="s">
        <v>54</v>
      </c>
      <c r="Y5" s="2" t="s">
        <v>54</v>
      </c>
      <c r="Z5" s="2"/>
      <c r="AA5" s="2"/>
      <c r="AB5" s="2"/>
      <c r="AC5" s="2"/>
    </row>
    <row r="6" spans="1:29" x14ac:dyDescent="0.25">
      <c r="A6" s="16" t="s">
        <v>209</v>
      </c>
      <c r="B6" s="2">
        <v>13</v>
      </c>
      <c r="C6" s="2">
        <v>18043</v>
      </c>
      <c r="D6" s="2">
        <v>72.050102533</v>
      </c>
      <c r="E6" s="2">
        <v>41.836348463</v>
      </c>
      <c r="F6" s="2">
        <v>124.08389990000001</v>
      </c>
      <c r="G6" s="2">
        <v>0.79109741109999998</v>
      </c>
      <c r="H6" s="2">
        <v>0.45007903189999998</v>
      </c>
      <c r="I6" s="2">
        <v>1.3905004888000001</v>
      </c>
      <c r="J6" s="2">
        <v>0.41544972359999999</v>
      </c>
      <c r="K6" s="2" t="s">
        <v>54</v>
      </c>
      <c r="L6" s="2">
        <v>0.7019334975</v>
      </c>
      <c r="M6" s="2">
        <v>0.28005706279999998</v>
      </c>
      <c r="N6" s="2">
        <v>1.7593222961999999</v>
      </c>
      <c r="O6" s="2">
        <v>0.45029102319999997</v>
      </c>
      <c r="P6" s="2">
        <v>1.9172532283999999</v>
      </c>
      <c r="Q6" s="2">
        <v>0.54635403049999998</v>
      </c>
      <c r="R6" s="2">
        <v>6.7279817424999999</v>
      </c>
      <c r="S6" s="2">
        <v>0.30953071339999999</v>
      </c>
      <c r="T6" s="2" t="s">
        <v>54</v>
      </c>
      <c r="U6" s="2" t="s">
        <v>54</v>
      </c>
      <c r="V6" s="2" t="s">
        <v>54</v>
      </c>
      <c r="W6" s="2" t="s">
        <v>54</v>
      </c>
      <c r="X6" s="2" t="s">
        <v>54</v>
      </c>
      <c r="Y6" s="2" t="s">
        <v>54</v>
      </c>
      <c r="Z6" s="2"/>
      <c r="AA6" s="2"/>
      <c r="AB6" s="2"/>
      <c r="AC6" s="2"/>
    </row>
    <row r="7" spans="1:29" x14ac:dyDescent="0.25">
      <c r="A7" s="16" t="s">
        <v>205</v>
      </c>
      <c r="B7" s="2">
        <v>26</v>
      </c>
      <c r="C7" s="2">
        <v>23758</v>
      </c>
      <c r="D7" s="2">
        <v>109.43682128</v>
      </c>
      <c r="E7" s="2">
        <v>74.51249627</v>
      </c>
      <c r="F7" s="2">
        <v>160.73032648</v>
      </c>
      <c r="G7" s="2">
        <v>1.2015969852999999</v>
      </c>
      <c r="H7" s="2">
        <v>0.79526688729999995</v>
      </c>
      <c r="I7" s="2">
        <v>1.8155355618</v>
      </c>
      <c r="J7" s="2">
        <v>0.38314147440000001</v>
      </c>
      <c r="K7" s="2" t="s">
        <v>54</v>
      </c>
      <c r="L7" s="2">
        <v>0.4621331273</v>
      </c>
      <c r="M7" s="2">
        <v>0.20059146459999999</v>
      </c>
      <c r="N7" s="2">
        <v>1.064686515</v>
      </c>
      <c r="O7" s="2">
        <v>6.9868372200000001E-2</v>
      </c>
      <c r="P7" s="2">
        <v>1.6551537527</v>
      </c>
      <c r="Q7" s="2">
        <v>0.7184287292</v>
      </c>
      <c r="R7" s="2">
        <v>3.8132299474</v>
      </c>
      <c r="S7" s="2">
        <v>0.2366654825</v>
      </c>
      <c r="T7" s="2" t="s">
        <v>54</v>
      </c>
      <c r="U7" s="2" t="s">
        <v>54</v>
      </c>
      <c r="V7" s="2" t="s">
        <v>54</v>
      </c>
      <c r="W7" s="2" t="s">
        <v>54</v>
      </c>
      <c r="X7" s="2" t="s">
        <v>54</v>
      </c>
      <c r="Y7" s="2" t="s">
        <v>54</v>
      </c>
      <c r="Z7" s="2"/>
      <c r="AA7" s="2"/>
      <c r="AB7" s="2"/>
      <c r="AC7" s="2"/>
    </row>
    <row r="8" spans="1:29" x14ac:dyDescent="0.25">
      <c r="A8" s="16" t="s">
        <v>12</v>
      </c>
      <c r="B8" s="16">
        <v>30</v>
      </c>
      <c r="C8" s="16">
        <v>39880</v>
      </c>
      <c r="D8" s="16">
        <v>75.225677031000004</v>
      </c>
      <c r="E8" s="16">
        <v>52.596721758000001</v>
      </c>
      <c r="F8" s="16">
        <v>107.59040288999999</v>
      </c>
      <c r="G8" s="16">
        <v>0.82596465870000002</v>
      </c>
      <c r="H8" s="16">
        <v>0.56027138460000003</v>
      </c>
      <c r="I8" s="16">
        <v>1.2176556506</v>
      </c>
      <c r="J8" s="16">
        <v>0.33427976860000003</v>
      </c>
      <c r="K8" s="16" t="s">
        <v>54</v>
      </c>
      <c r="L8" s="16">
        <v>0.67230209760000004</v>
      </c>
      <c r="M8" s="16">
        <v>0.29530595110000002</v>
      </c>
      <c r="N8" s="16">
        <v>1.5305824647999999</v>
      </c>
      <c r="O8" s="16">
        <v>0.3441929118</v>
      </c>
      <c r="P8" s="16">
        <v>0.813015971</v>
      </c>
      <c r="Q8" s="2">
        <v>0.42409057430000002</v>
      </c>
      <c r="R8" s="2">
        <v>1.5586174492</v>
      </c>
      <c r="S8" s="2">
        <v>0.53301121399999996</v>
      </c>
      <c r="T8" s="2" t="s">
        <v>54</v>
      </c>
      <c r="U8" s="2" t="s">
        <v>54</v>
      </c>
      <c r="V8" s="2" t="s">
        <v>54</v>
      </c>
      <c r="W8" s="2" t="s">
        <v>54</v>
      </c>
      <c r="X8" s="2" t="s">
        <v>54</v>
      </c>
      <c r="Y8" s="2" t="s">
        <v>54</v>
      </c>
      <c r="Z8" s="2"/>
      <c r="AA8" s="2"/>
      <c r="AB8" s="2"/>
      <c r="AC8" s="2"/>
    </row>
    <row r="9" spans="1:29" x14ac:dyDescent="0.25">
      <c r="A9" s="16" t="s">
        <v>13</v>
      </c>
      <c r="B9" s="2">
        <v>22</v>
      </c>
      <c r="C9" s="2">
        <v>26251</v>
      </c>
      <c r="D9" s="2">
        <v>83.806331186999998</v>
      </c>
      <c r="E9" s="2">
        <v>55.182332037000002</v>
      </c>
      <c r="F9" s="2">
        <v>127.27807774</v>
      </c>
      <c r="G9" s="2">
        <v>0.92017872710000004</v>
      </c>
      <c r="H9" s="2">
        <v>0.59021459539999999</v>
      </c>
      <c r="I9" s="2">
        <v>1.4346119130999999</v>
      </c>
      <c r="J9" s="2">
        <v>0.71350776849999997</v>
      </c>
      <c r="K9" s="2" t="s">
        <v>54</v>
      </c>
      <c r="L9" s="2">
        <v>0.60346730069999999</v>
      </c>
      <c r="M9" s="2">
        <v>0.25779573579999998</v>
      </c>
      <c r="N9" s="2">
        <v>1.4126408331</v>
      </c>
      <c r="O9" s="2">
        <v>0.24447365200000001</v>
      </c>
      <c r="P9" s="2">
        <v>2.3050931392999998</v>
      </c>
      <c r="Q9" s="2">
        <v>0.93466037140000002</v>
      </c>
      <c r="R9" s="2">
        <v>5.6849038898000002</v>
      </c>
      <c r="S9" s="2">
        <v>6.9793456800000001E-2</v>
      </c>
      <c r="T9" s="2" t="s">
        <v>54</v>
      </c>
      <c r="U9" s="2" t="s">
        <v>54</v>
      </c>
      <c r="V9" s="2" t="s">
        <v>54</v>
      </c>
      <c r="W9" s="2" t="s">
        <v>54</v>
      </c>
      <c r="X9" s="2" t="s">
        <v>54</v>
      </c>
      <c r="Y9" s="2" t="s">
        <v>54</v>
      </c>
      <c r="Z9" s="2"/>
      <c r="AA9" s="2"/>
      <c r="AB9" s="2"/>
      <c r="AC9" s="2"/>
    </row>
    <row r="10" spans="1:29" x14ac:dyDescent="0.25">
      <c r="A10" s="2" t="s">
        <v>210</v>
      </c>
      <c r="B10" s="2">
        <v>12</v>
      </c>
      <c r="C10" s="2">
        <v>11415</v>
      </c>
      <c r="D10" s="2">
        <v>105.12483573999999</v>
      </c>
      <c r="E10" s="2">
        <v>59.701413017999997</v>
      </c>
      <c r="F10" s="2">
        <v>185.10836731000001</v>
      </c>
      <c r="G10" s="2">
        <v>1.1542521450000001</v>
      </c>
      <c r="H10" s="2">
        <v>0.64276962280000005</v>
      </c>
      <c r="I10" s="2">
        <v>2.0727457663000002</v>
      </c>
      <c r="J10" s="2">
        <v>0.63103346979999997</v>
      </c>
      <c r="K10" s="2" t="s">
        <v>54</v>
      </c>
      <c r="L10" s="2">
        <v>0.4810887942</v>
      </c>
      <c r="M10" s="2">
        <v>0.18940792989999999</v>
      </c>
      <c r="N10" s="2">
        <v>1.2219468739999999</v>
      </c>
      <c r="O10" s="2">
        <v>0.12392603770000001</v>
      </c>
      <c r="P10" s="2">
        <v>2.5413929040999998</v>
      </c>
      <c r="Q10" s="2">
        <v>0.81965364190000001</v>
      </c>
      <c r="R10" s="2">
        <v>7.8797647725999997</v>
      </c>
      <c r="S10" s="2">
        <v>0.10620135159999999</v>
      </c>
      <c r="T10" s="2" t="s">
        <v>54</v>
      </c>
      <c r="U10" s="2" t="s">
        <v>54</v>
      </c>
      <c r="V10" s="2" t="s">
        <v>54</v>
      </c>
      <c r="W10" s="2" t="s">
        <v>54</v>
      </c>
      <c r="X10" s="2" t="s">
        <v>54</v>
      </c>
      <c r="Y10" s="2" t="s">
        <v>54</v>
      </c>
      <c r="Z10" s="2"/>
      <c r="AA10" s="2"/>
      <c r="AB10" s="2"/>
      <c r="AC10" s="2"/>
    </row>
    <row r="11" spans="1:29" x14ac:dyDescent="0.25">
      <c r="A11" s="16" t="s">
        <v>207</v>
      </c>
      <c r="B11" s="2">
        <v>30</v>
      </c>
      <c r="C11" s="2">
        <v>24520</v>
      </c>
      <c r="D11" s="2">
        <v>122.34910277</v>
      </c>
      <c r="E11" s="2">
        <v>85.544749744000001</v>
      </c>
      <c r="F11" s="2">
        <v>174.98797991000001</v>
      </c>
      <c r="G11" s="2">
        <v>1.3433715574</v>
      </c>
      <c r="H11" s="2">
        <v>0.91124073490000002</v>
      </c>
      <c r="I11" s="2">
        <v>1.9804285214999999</v>
      </c>
      <c r="J11" s="2">
        <v>0.13606686800000001</v>
      </c>
      <c r="K11" s="2" t="s">
        <v>54</v>
      </c>
      <c r="L11" s="2">
        <v>0.41336126969999998</v>
      </c>
      <c r="M11" s="2">
        <v>0.1815672498</v>
      </c>
      <c r="N11" s="2">
        <v>0.94107026169999997</v>
      </c>
      <c r="O11" s="2">
        <v>3.5320654999999999E-2</v>
      </c>
      <c r="P11" s="2">
        <v>3.1027732463</v>
      </c>
      <c r="Q11" s="2">
        <v>0.42313416679999999</v>
      </c>
      <c r="R11" s="2">
        <v>22.752125861</v>
      </c>
      <c r="S11" s="2">
        <v>0.26532905810000001</v>
      </c>
      <c r="T11" s="2" t="s">
        <v>54</v>
      </c>
      <c r="U11" s="2" t="s">
        <v>54</v>
      </c>
      <c r="V11" s="2" t="s">
        <v>54</v>
      </c>
      <c r="W11" s="2" t="s">
        <v>54</v>
      </c>
      <c r="X11" s="2" t="s">
        <v>54</v>
      </c>
      <c r="Y11" s="2" t="s">
        <v>54</v>
      </c>
      <c r="Z11" s="2"/>
      <c r="AA11" s="2"/>
      <c r="AB11" s="2"/>
      <c r="AC11" s="2"/>
    </row>
    <row r="12" spans="1:29" x14ac:dyDescent="0.25">
      <c r="A12" s="2" t="s">
        <v>211</v>
      </c>
      <c r="B12" s="2">
        <v>19</v>
      </c>
      <c r="C12" s="2">
        <v>15117</v>
      </c>
      <c r="D12" s="2">
        <v>125.68631342</v>
      </c>
      <c r="E12" s="2">
        <v>80.169460526999998</v>
      </c>
      <c r="F12" s="2">
        <v>197.04572386999999</v>
      </c>
      <c r="G12" s="2">
        <v>1.3800135414000001</v>
      </c>
      <c r="H12" s="2">
        <v>0.85897524339999998</v>
      </c>
      <c r="I12" s="2">
        <v>2.2171039145</v>
      </c>
      <c r="J12" s="2">
        <v>0.1830135614</v>
      </c>
      <c r="K12" s="2" t="s">
        <v>54</v>
      </c>
      <c r="L12" s="2">
        <v>0.40238574179999997</v>
      </c>
      <c r="M12" s="2">
        <v>0.1691575655</v>
      </c>
      <c r="N12" s="2">
        <v>0.95718027589999999</v>
      </c>
      <c r="O12" s="2">
        <v>3.9499516800000002E-2</v>
      </c>
      <c r="P12" s="2">
        <v>3.0252695640999998</v>
      </c>
      <c r="Q12" s="2">
        <v>0.8952533895</v>
      </c>
      <c r="R12" s="2">
        <v>10.223089956999999</v>
      </c>
      <c r="S12" s="2">
        <v>7.47719258E-2</v>
      </c>
      <c r="T12" s="2" t="s">
        <v>54</v>
      </c>
      <c r="U12" s="2" t="s">
        <v>54</v>
      </c>
      <c r="V12" s="2" t="s">
        <v>54</v>
      </c>
      <c r="W12" s="2" t="s">
        <v>54</v>
      </c>
      <c r="X12" s="2" t="s">
        <v>54</v>
      </c>
      <c r="Y12" s="2" t="s">
        <v>54</v>
      </c>
      <c r="Z12" s="2"/>
      <c r="AA12" s="2"/>
      <c r="AB12" s="2"/>
      <c r="AC12" s="2"/>
    </row>
    <row r="13" spans="1:29" x14ac:dyDescent="0.25">
      <c r="A13" s="16" t="s">
        <v>208</v>
      </c>
      <c r="B13" s="2">
        <v>11</v>
      </c>
      <c r="C13" s="2">
        <v>12986</v>
      </c>
      <c r="D13" s="2">
        <v>84.706607114999997</v>
      </c>
      <c r="E13" s="2">
        <v>46.910532715999999</v>
      </c>
      <c r="F13" s="2">
        <v>152.95518668</v>
      </c>
      <c r="G13" s="2">
        <v>0.93006359790000004</v>
      </c>
      <c r="H13" s="2">
        <v>0.50546673819999999</v>
      </c>
      <c r="I13" s="2">
        <v>1.7113258514</v>
      </c>
      <c r="J13" s="2">
        <v>0.81572914100000005</v>
      </c>
      <c r="K13" s="2" t="s">
        <v>54</v>
      </c>
      <c r="L13" s="2">
        <v>0.59705354970000002</v>
      </c>
      <c r="M13" s="2">
        <v>0.2314529041</v>
      </c>
      <c r="N13" s="2">
        <v>1.5401532444999999</v>
      </c>
      <c r="O13" s="2">
        <v>0.28610204099999997</v>
      </c>
      <c r="P13" s="2">
        <v>1.5943477590999999</v>
      </c>
      <c r="Q13" s="2">
        <v>0.55396086529999999</v>
      </c>
      <c r="R13" s="2">
        <v>4.5886721174999998</v>
      </c>
      <c r="S13" s="2">
        <v>0.3871218125</v>
      </c>
      <c r="T13" s="2" t="s">
        <v>54</v>
      </c>
      <c r="U13" s="2" t="s">
        <v>54</v>
      </c>
      <c r="V13" s="2" t="s">
        <v>54</v>
      </c>
      <c r="W13" s="2" t="s">
        <v>54</v>
      </c>
      <c r="X13" s="2" t="s">
        <v>54</v>
      </c>
      <c r="Y13" s="2" t="s">
        <v>54</v>
      </c>
      <c r="Z13" s="2"/>
      <c r="AA13" s="2"/>
      <c r="AB13" s="2"/>
      <c r="AC13" s="2"/>
    </row>
    <row r="14" spans="1:29" x14ac:dyDescent="0.25">
      <c r="A14" s="2" t="s">
        <v>73</v>
      </c>
      <c r="B14" s="2">
        <v>0</v>
      </c>
      <c r="C14" s="2">
        <v>846</v>
      </c>
      <c r="D14" s="1">
        <v>1.2181759000000001E-7</v>
      </c>
      <c r="E14" s="2">
        <v>0</v>
      </c>
      <c r="F14" s="2" t="s">
        <v>54</v>
      </c>
      <c r="G14" s="1">
        <v>1.3375356E-9</v>
      </c>
      <c r="H14" s="2">
        <v>0</v>
      </c>
      <c r="I14" s="2" t="s">
        <v>199</v>
      </c>
      <c r="J14" s="2">
        <v>0.99947664020000004</v>
      </c>
      <c r="K14" s="2" t="s">
        <v>54</v>
      </c>
      <c r="L14" s="2">
        <v>415164841.73000002</v>
      </c>
      <c r="M14" s="2">
        <v>0</v>
      </c>
      <c r="N14" s="2" t="s">
        <v>199</v>
      </c>
      <c r="O14" s="2">
        <v>0.99949170769999995</v>
      </c>
      <c r="P14" s="1">
        <v>3.7276180000000002E-10</v>
      </c>
      <c r="Q14" s="2">
        <v>0</v>
      </c>
      <c r="R14" s="2" t="s">
        <v>199</v>
      </c>
      <c r="S14" s="2">
        <v>0.99944391440000002</v>
      </c>
      <c r="T14" s="2" t="s">
        <v>54</v>
      </c>
      <c r="U14" s="2" t="s">
        <v>54</v>
      </c>
      <c r="V14" s="2" t="s">
        <v>54</v>
      </c>
      <c r="W14" s="2" t="s">
        <v>54</v>
      </c>
      <c r="X14" s="2" t="s">
        <v>54</v>
      </c>
      <c r="Y14" s="2" t="s">
        <v>54</v>
      </c>
      <c r="Z14" s="2"/>
      <c r="AA14" s="2"/>
      <c r="AB14" s="2"/>
      <c r="AC14" s="2"/>
    </row>
    <row r="15" spans="1:29" x14ac:dyDescent="0.25">
      <c r="A15" s="2" t="s">
        <v>227</v>
      </c>
      <c r="B15" s="2">
        <v>170</v>
      </c>
      <c r="C15" s="2">
        <v>186657</v>
      </c>
      <c r="D15" s="2">
        <v>91.076145014999994</v>
      </c>
      <c r="E15" s="2">
        <v>78.364697540999998</v>
      </c>
      <c r="F15" s="2">
        <v>105.84950177</v>
      </c>
      <c r="G15" s="2" t="s">
        <v>54</v>
      </c>
      <c r="H15" s="2" t="s">
        <v>54</v>
      </c>
      <c r="I15" s="2" t="s">
        <v>54</v>
      </c>
      <c r="J15" s="2" t="s">
        <v>54</v>
      </c>
      <c r="K15" s="2" t="s">
        <v>54</v>
      </c>
      <c r="L15" s="2" t="s">
        <v>54</v>
      </c>
      <c r="M15" s="2" t="s">
        <v>54</v>
      </c>
      <c r="N15" s="2" t="s">
        <v>54</v>
      </c>
      <c r="O15" s="2" t="s">
        <v>54</v>
      </c>
      <c r="P15" s="2">
        <v>1.6593162859999999</v>
      </c>
      <c r="Q15" s="2">
        <v>1.2105644840000001</v>
      </c>
      <c r="R15" s="2">
        <v>2.2744187306999999</v>
      </c>
      <c r="S15" s="2">
        <v>1.6454693E-3</v>
      </c>
      <c r="T15" s="2" t="s">
        <v>54</v>
      </c>
      <c r="U15" s="2" t="s">
        <v>54</v>
      </c>
      <c r="V15" s="2" t="s">
        <v>185</v>
      </c>
      <c r="W15" s="2" t="s">
        <v>54</v>
      </c>
      <c r="X15" s="2" t="s">
        <v>54</v>
      </c>
      <c r="Y15" s="2" t="s">
        <v>54</v>
      </c>
      <c r="Z15" s="2"/>
      <c r="AA15" s="2"/>
      <c r="AB15" s="2"/>
      <c r="AC15" s="2"/>
    </row>
    <row r="16" spans="1:29" x14ac:dyDescent="0.25">
      <c r="A16" s="2" t="s">
        <v>206</v>
      </c>
      <c r="B16" s="2">
        <v>6</v>
      </c>
      <c r="C16" s="2">
        <v>12522</v>
      </c>
      <c r="D16" s="2">
        <v>47.915668424000003</v>
      </c>
      <c r="E16" s="2">
        <v>21.526626523000001</v>
      </c>
      <c r="F16" s="2">
        <v>106.65448569</v>
      </c>
      <c r="G16" s="2">
        <v>0.87297556300000001</v>
      </c>
      <c r="H16" s="2">
        <v>0.37431823800000003</v>
      </c>
      <c r="I16" s="2">
        <v>2.0359316118000002</v>
      </c>
      <c r="J16" s="2">
        <v>0.75319723530000005</v>
      </c>
      <c r="K16" s="2" t="s">
        <v>54</v>
      </c>
      <c r="L16" s="2">
        <v>0.75877113249999995</v>
      </c>
      <c r="M16" s="2">
        <v>0.24471994120000001</v>
      </c>
      <c r="N16" s="2">
        <v>2.3526224658000001</v>
      </c>
      <c r="O16" s="2">
        <v>0.63254954379999995</v>
      </c>
      <c r="P16" s="2" t="s">
        <v>54</v>
      </c>
      <c r="Q16" s="2" t="s">
        <v>54</v>
      </c>
      <c r="R16" s="2" t="s">
        <v>54</v>
      </c>
      <c r="S16" s="2" t="s">
        <v>54</v>
      </c>
      <c r="T16" s="2" t="s">
        <v>54</v>
      </c>
      <c r="U16" s="2" t="s">
        <v>54</v>
      </c>
      <c r="V16" s="2" t="s">
        <v>54</v>
      </c>
      <c r="W16" s="2" t="s">
        <v>54</v>
      </c>
      <c r="X16" s="2" t="s">
        <v>54</v>
      </c>
      <c r="Y16" s="2" t="s">
        <v>54</v>
      </c>
      <c r="Z16" s="2"/>
      <c r="AA16" s="2"/>
      <c r="AB16" s="2"/>
      <c r="AC16" s="2"/>
    </row>
    <row r="17" spans="1:29" x14ac:dyDescent="0.25">
      <c r="A17" s="2" t="s">
        <v>209</v>
      </c>
      <c r="B17" s="2" t="s">
        <v>54</v>
      </c>
      <c r="C17" s="2" t="s">
        <v>54</v>
      </c>
      <c r="D17" s="2" t="s">
        <v>54</v>
      </c>
      <c r="E17" s="2" t="s">
        <v>54</v>
      </c>
      <c r="F17" s="2" t="s">
        <v>54</v>
      </c>
      <c r="G17" s="2" t="s">
        <v>54</v>
      </c>
      <c r="H17" s="2" t="s">
        <v>54</v>
      </c>
      <c r="I17" s="2" t="s">
        <v>54</v>
      </c>
      <c r="J17" s="2" t="s">
        <v>54</v>
      </c>
      <c r="K17" s="2" t="s">
        <v>54</v>
      </c>
      <c r="L17" s="2" t="s">
        <v>54</v>
      </c>
      <c r="M17" s="2" t="s">
        <v>54</v>
      </c>
      <c r="N17" s="2" t="s">
        <v>54</v>
      </c>
      <c r="O17" s="2" t="s">
        <v>54</v>
      </c>
      <c r="P17" s="2" t="s">
        <v>54</v>
      </c>
      <c r="Q17" s="2" t="s">
        <v>54</v>
      </c>
      <c r="R17" s="2" t="s">
        <v>54</v>
      </c>
      <c r="S17" s="2" t="s">
        <v>54</v>
      </c>
      <c r="T17" s="2" t="s">
        <v>54</v>
      </c>
      <c r="U17" s="2" t="s">
        <v>54</v>
      </c>
      <c r="V17" s="2" t="s">
        <v>54</v>
      </c>
      <c r="W17" s="2" t="s">
        <v>244</v>
      </c>
      <c r="X17" s="2" t="s">
        <v>244</v>
      </c>
      <c r="Y17" s="2" t="s">
        <v>244</v>
      </c>
      <c r="Z17" s="2"/>
      <c r="AA17" s="2"/>
      <c r="AB17" s="2"/>
      <c r="AC17" s="2"/>
    </row>
    <row r="18" spans="1:29" x14ac:dyDescent="0.25">
      <c r="A18" s="2" t="s">
        <v>205</v>
      </c>
      <c r="B18" s="2">
        <v>7</v>
      </c>
      <c r="C18" s="2">
        <v>10587</v>
      </c>
      <c r="D18" s="2">
        <v>66.118824974000006</v>
      </c>
      <c r="E18" s="2">
        <v>31.521086896</v>
      </c>
      <c r="F18" s="2">
        <v>138.69125231000001</v>
      </c>
      <c r="G18" s="2">
        <v>1.2046188722</v>
      </c>
      <c r="H18" s="2">
        <v>0.54618842420000002</v>
      </c>
      <c r="I18" s="2">
        <v>2.6567875899</v>
      </c>
      <c r="J18" s="2">
        <v>0.64457801979999996</v>
      </c>
      <c r="K18" s="2" t="s">
        <v>54</v>
      </c>
      <c r="L18" s="2">
        <v>0.54987404890000002</v>
      </c>
      <c r="M18" s="2">
        <v>0.18479848330000001</v>
      </c>
      <c r="N18" s="2">
        <v>1.6361685667000001</v>
      </c>
      <c r="O18" s="2">
        <v>0.28238177730000003</v>
      </c>
      <c r="P18" s="2" t="s">
        <v>54</v>
      </c>
      <c r="Q18" s="2" t="s">
        <v>54</v>
      </c>
      <c r="R18" s="2" t="s">
        <v>54</v>
      </c>
      <c r="S18" s="2" t="s">
        <v>54</v>
      </c>
      <c r="T18" s="2" t="s">
        <v>54</v>
      </c>
      <c r="U18" s="2" t="s">
        <v>54</v>
      </c>
      <c r="V18" s="2" t="s">
        <v>54</v>
      </c>
      <c r="W18" s="2" t="s">
        <v>54</v>
      </c>
      <c r="X18" s="2" t="s">
        <v>54</v>
      </c>
      <c r="Y18" s="2" t="s">
        <v>54</v>
      </c>
      <c r="Z18" s="2"/>
      <c r="AA18" s="2"/>
      <c r="AB18" s="2"/>
      <c r="AC18" s="2"/>
    </row>
    <row r="19" spans="1:29" x14ac:dyDescent="0.25">
      <c r="A19" s="2" t="s">
        <v>12</v>
      </c>
      <c r="B19" s="2">
        <v>13</v>
      </c>
      <c r="C19" s="2">
        <v>14050</v>
      </c>
      <c r="D19" s="2">
        <v>92.526690391000002</v>
      </c>
      <c r="E19" s="2">
        <v>53.726208919000001</v>
      </c>
      <c r="F19" s="2">
        <v>159.34845594000001</v>
      </c>
      <c r="G19" s="2">
        <v>1.6857437721999999</v>
      </c>
      <c r="H19" s="2">
        <v>0.91578070249999999</v>
      </c>
      <c r="I19" s="2">
        <v>3.1030704817000001</v>
      </c>
      <c r="J19" s="2">
        <v>9.3470063800000003E-2</v>
      </c>
      <c r="K19" s="2" t="s">
        <v>54</v>
      </c>
      <c r="L19" s="2">
        <v>0.39293555019999998</v>
      </c>
      <c r="M19" s="2">
        <v>0.1493524681</v>
      </c>
      <c r="N19" s="2">
        <v>1.0337850356</v>
      </c>
      <c r="O19" s="2">
        <v>5.8405553700000001E-2</v>
      </c>
      <c r="P19" s="2" t="s">
        <v>54</v>
      </c>
      <c r="Q19" s="2" t="s">
        <v>54</v>
      </c>
      <c r="R19" s="2" t="s">
        <v>54</v>
      </c>
      <c r="S19" s="2" t="s">
        <v>54</v>
      </c>
      <c r="T19" s="2" t="s">
        <v>54</v>
      </c>
      <c r="U19" s="2" t="s">
        <v>54</v>
      </c>
      <c r="V19" s="2" t="s">
        <v>54</v>
      </c>
      <c r="W19" s="2" t="s">
        <v>54</v>
      </c>
      <c r="X19" s="2" t="s">
        <v>54</v>
      </c>
      <c r="Y19" s="2" t="s">
        <v>54</v>
      </c>
      <c r="Z19" s="2"/>
      <c r="AA19" s="2"/>
      <c r="AB19" s="2"/>
      <c r="AC19" s="2"/>
    </row>
    <row r="20" spans="1:29" x14ac:dyDescent="0.25">
      <c r="A20" s="2" t="s">
        <v>13</v>
      </c>
      <c r="B20" s="2">
        <v>6</v>
      </c>
      <c r="C20" s="2">
        <v>16503</v>
      </c>
      <c r="D20" s="2">
        <v>36.357025995000001</v>
      </c>
      <c r="E20" s="2">
        <v>16.333782786</v>
      </c>
      <c r="F20" s="2">
        <v>80.926344896000003</v>
      </c>
      <c r="G20" s="2">
        <v>0.66238865660000001</v>
      </c>
      <c r="H20" s="2">
        <v>0.28402187340000001</v>
      </c>
      <c r="I20" s="2">
        <v>1.5448061348</v>
      </c>
      <c r="J20" s="2">
        <v>0.34040277260000001</v>
      </c>
      <c r="K20" s="2">
        <v>1</v>
      </c>
      <c r="L20" s="2" t="s">
        <v>54</v>
      </c>
      <c r="M20" s="2" t="s">
        <v>54</v>
      </c>
      <c r="N20" s="2" t="s">
        <v>54</v>
      </c>
      <c r="O20" s="2" t="s">
        <v>54</v>
      </c>
      <c r="P20" s="2" t="s">
        <v>54</v>
      </c>
      <c r="Q20" s="2" t="s">
        <v>54</v>
      </c>
      <c r="R20" s="2" t="s">
        <v>54</v>
      </c>
      <c r="S20" s="2" t="s">
        <v>54</v>
      </c>
      <c r="T20" s="2" t="s">
        <v>54</v>
      </c>
      <c r="U20" s="2" t="s">
        <v>54</v>
      </c>
      <c r="V20" s="2" t="s">
        <v>54</v>
      </c>
      <c r="W20" s="2" t="s">
        <v>54</v>
      </c>
      <c r="X20" s="2" t="s">
        <v>54</v>
      </c>
      <c r="Y20" s="2" t="s">
        <v>54</v>
      </c>
      <c r="Z20" s="2"/>
      <c r="AA20" s="2"/>
      <c r="AB20" s="2"/>
      <c r="AC20" s="2"/>
    </row>
    <row r="21" spans="1:29" x14ac:dyDescent="0.25">
      <c r="A21" s="2" t="s">
        <v>210</v>
      </c>
      <c r="B21" s="2" t="s">
        <v>54</v>
      </c>
      <c r="C21" s="2" t="s">
        <v>54</v>
      </c>
      <c r="D21" s="2" t="s">
        <v>54</v>
      </c>
      <c r="E21" s="2" t="s">
        <v>54</v>
      </c>
      <c r="F21" s="2" t="s">
        <v>54</v>
      </c>
      <c r="G21" s="2" t="s">
        <v>54</v>
      </c>
      <c r="H21" s="2" t="s">
        <v>54</v>
      </c>
      <c r="I21" s="2" t="s">
        <v>54</v>
      </c>
      <c r="J21" s="2" t="s">
        <v>54</v>
      </c>
      <c r="K21" s="2" t="s">
        <v>54</v>
      </c>
      <c r="L21" s="2" t="s">
        <v>54</v>
      </c>
      <c r="M21" s="2" t="s">
        <v>54</v>
      </c>
      <c r="N21" s="2" t="s">
        <v>54</v>
      </c>
      <c r="O21" s="2" t="s">
        <v>54</v>
      </c>
      <c r="P21" s="2" t="s">
        <v>54</v>
      </c>
      <c r="Q21" s="2" t="s">
        <v>54</v>
      </c>
      <c r="R21" s="2" t="s">
        <v>54</v>
      </c>
      <c r="S21" s="2" t="s">
        <v>54</v>
      </c>
      <c r="T21" s="2" t="s">
        <v>54</v>
      </c>
      <c r="U21" s="2" t="s">
        <v>54</v>
      </c>
      <c r="V21" s="2" t="s">
        <v>54</v>
      </c>
      <c r="W21" s="2" t="s">
        <v>244</v>
      </c>
      <c r="X21" s="2" t="s">
        <v>244</v>
      </c>
      <c r="Y21" s="2" t="s">
        <v>244</v>
      </c>
      <c r="Z21" s="2"/>
      <c r="AA21" s="2"/>
      <c r="AB21" s="2"/>
      <c r="AC21" s="2"/>
    </row>
    <row r="22" spans="1:29" x14ac:dyDescent="0.25">
      <c r="A22" s="2" t="s">
        <v>207</v>
      </c>
      <c r="B22" s="2" t="s">
        <v>54</v>
      </c>
      <c r="C22" s="2" t="s">
        <v>54</v>
      </c>
      <c r="D22" s="2" t="s">
        <v>54</v>
      </c>
      <c r="E22" s="2" t="s">
        <v>54</v>
      </c>
      <c r="F22" s="2" t="s">
        <v>54</v>
      </c>
      <c r="G22" s="2" t="s">
        <v>54</v>
      </c>
      <c r="H22" s="2" t="s">
        <v>54</v>
      </c>
      <c r="I22" s="2" t="s">
        <v>54</v>
      </c>
      <c r="J22" s="2" t="s">
        <v>54</v>
      </c>
      <c r="K22" s="2" t="s">
        <v>54</v>
      </c>
      <c r="L22" s="2" t="s">
        <v>54</v>
      </c>
      <c r="M22" s="2" t="s">
        <v>54</v>
      </c>
      <c r="N22" s="2" t="s">
        <v>54</v>
      </c>
      <c r="O22" s="2" t="s">
        <v>54</v>
      </c>
      <c r="P22" s="2" t="s">
        <v>54</v>
      </c>
      <c r="Q22" s="2" t="s">
        <v>54</v>
      </c>
      <c r="R22" s="2" t="s">
        <v>54</v>
      </c>
      <c r="S22" s="2" t="s">
        <v>54</v>
      </c>
      <c r="T22" s="2" t="s">
        <v>54</v>
      </c>
      <c r="U22" s="2" t="s">
        <v>54</v>
      </c>
      <c r="V22" s="2" t="s">
        <v>54</v>
      </c>
      <c r="W22" s="2" t="s">
        <v>244</v>
      </c>
      <c r="X22" s="2" t="s">
        <v>244</v>
      </c>
      <c r="Y22" s="2" t="s">
        <v>244</v>
      </c>
      <c r="Z22" s="2"/>
      <c r="AA22" s="2"/>
      <c r="AB22" s="2"/>
      <c r="AC22" s="2"/>
    </row>
    <row r="23" spans="1:29" x14ac:dyDescent="0.25">
      <c r="A23" s="2" t="s">
        <v>211</v>
      </c>
      <c r="B23" s="2" t="s">
        <v>54</v>
      </c>
      <c r="C23" s="2" t="s">
        <v>54</v>
      </c>
      <c r="D23" s="2" t="s">
        <v>54</v>
      </c>
      <c r="E23" s="2" t="s">
        <v>54</v>
      </c>
      <c r="F23" s="2" t="s">
        <v>54</v>
      </c>
      <c r="G23" s="2" t="s">
        <v>54</v>
      </c>
      <c r="H23" s="2" t="s">
        <v>54</v>
      </c>
      <c r="I23" s="2" t="s">
        <v>54</v>
      </c>
      <c r="J23" s="2" t="s">
        <v>54</v>
      </c>
      <c r="K23" s="2" t="s">
        <v>54</v>
      </c>
      <c r="L23" s="2" t="s">
        <v>54</v>
      </c>
      <c r="M23" s="2" t="s">
        <v>54</v>
      </c>
      <c r="N23" s="2" t="s">
        <v>54</v>
      </c>
      <c r="O23" s="2" t="s">
        <v>54</v>
      </c>
      <c r="P23" s="2" t="s">
        <v>54</v>
      </c>
      <c r="Q23" s="2" t="s">
        <v>54</v>
      </c>
      <c r="R23" s="2" t="s">
        <v>54</v>
      </c>
      <c r="S23" s="2" t="s">
        <v>54</v>
      </c>
      <c r="T23" s="2" t="s">
        <v>54</v>
      </c>
      <c r="U23" s="2" t="s">
        <v>54</v>
      </c>
      <c r="V23" s="2" t="s">
        <v>54</v>
      </c>
      <c r="W23" s="2" t="s">
        <v>244</v>
      </c>
      <c r="X23" s="2" t="s">
        <v>244</v>
      </c>
      <c r="Y23" s="2" t="s">
        <v>244</v>
      </c>
      <c r="Z23" s="2"/>
      <c r="AA23" s="2"/>
      <c r="AB23" s="2"/>
      <c r="AC23" s="2"/>
    </row>
    <row r="24" spans="1:29" x14ac:dyDescent="0.25">
      <c r="A24" s="2" t="s">
        <v>208</v>
      </c>
      <c r="B24" s="2" t="s">
        <v>54</v>
      </c>
      <c r="C24" s="2" t="s">
        <v>54</v>
      </c>
      <c r="D24" s="2" t="s">
        <v>54</v>
      </c>
      <c r="E24" s="2" t="s">
        <v>54</v>
      </c>
      <c r="F24" s="2" t="s">
        <v>54</v>
      </c>
      <c r="G24" s="2" t="s">
        <v>54</v>
      </c>
      <c r="H24" s="2" t="s">
        <v>54</v>
      </c>
      <c r="I24" s="2" t="s">
        <v>54</v>
      </c>
      <c r="J24" s="2" t="s">
        <v>54</v>
      </c>
      <c r="K24" s="2" t="s">
        <v>54</v>
      </c>
      <c r="L24" s="2" t="s">
        <v>54</v>
      </c>
      <c r="M24" s="2" t="s">
        <v>54</v>
      </c>
      <c r="N24" s="2" t="s">
        <v>54</v>
      </c>
      <c r="O24" s="2" t="s">
        <v>54</v>
      </c>
      <c r="P24" s="2" t="s">
        <v>54</v>
      </c>
      <c r="Q24" s="2" t="s">
        <v>54</v>
      </c>
      <c r="R24" s="2" t="s">
        <v>54</v>
      </c>
      <c r="S24" s="2" t="s">
        <v>54</v>
      </c>
      <c r="T24" s="2" t="s">
        <v>54</v>
      </c>
      <c r="U24" s="2" t="s">
        <v>54</v>
      </c>
      <c r="V24" s="2" t="s">
        <v>54</v>
      </c>
      <c r="W24" s="2" t="s">
        <v>244</v>
      </c>
      <c r="X24" s="2" t="s">
        <v>244</v>
      </c>
      <c r="Y24" s="2" t="s">
        <v>244</v>
      </c>
      <c r="Z24" s="2"/>
      <c r="AA24" s="2"/>
      <c r="AB24" s="2"/>
      <c r="AC24" s="2"/>
    </row>
    <row r="25" spans="1:29" x14ac:dyDescent="0.25">
      <c r="A25" s="2" t="s">
        <v>73</v>
      </c>
      <c r="B25" s="2" t="s">
        <v>54</v>
      </c>
      <c r="C25" s="2" t="s">
        <v>54</v>
      </c>
      <c r="D25" s="2" t="s">
        <v>54</v>
      </c>
      <c r="E25" s="2" t="s">
        <v>54</v>
      </c>
      <c r="F25" s="2" t="s">
        <v>54</v>
      </c>
      <c r="G25" s="2" t="s">
        <v>54</v>
      </c>
      <c r="H25" s="2" t="s">
        <v>54</v>
      </c>
      <c r="I25" s="2" t="s">
        <v>54</v>
      </c>
      <c r="J25" s="2" t="s">
        <v>54</v>
      </c>
      <c r="K25" s="2" t="s">
        <v>54</v>
      </c>
      <c r="L25" s="2" t="s">
        <v>54</v>
      </c>
      <c r="M25" s="2" t="s">
        <v>54</v>
      </c>
      <c r="N25" s="2" t="s">
        <v>54</v>
      </c>
      <c r="O25" s="2" t="s">
        <v>54</v>
      </c>
      <c r="P25" s="2" t="s">
        <v>54</v>
      </c>
      <c r="Q25" s="2" t="s">
        <v>54</v>
      </c>
      <c r="R25" s="2" t="s">
        <v>54</v>
      </c>
      <c r="S25" s="2" t="s">
        <v>54</v>
      </c>
      <c r="T25" s="2" t="s">
        <v>54</v>
      </c>
      <c r="U25" s="2" t="s">
        <v>54</v>
      </c>
      <c r="V25" s="2" t="s">
        <v>54</v>
      </c>
      <c r="W25" s="2" t="s">
        <v>244</v>
      </c>
      <c r="X25" s="2" t="s">
        <v>244</v>
      </c>
      <c r="Y25" s="2" t="s">
        <v>244</v>
      </c>
      <c r="Z25" s="2"/>
      <c r="AA25" s="2"/>
      <c r="AB25" s="2"/>
      <c r="AC25" s="2"/>
    </row>
    <row r="26" spans="1:29" x14ac:dyDescent="0.25">
      <c r="A26" s="2" t="s">
        <v>228</v>
      </c>
      <c r="B26" s="2">
        <v>50</v>
      </c>
      <c r="C26" s="2">
        <v>91095</v>
      </c>
      <c r="D26" s="2">
        <v>54.887754542000003</v>
      </c>
      <c r="E26" s="2">
        <v>41.600388598000002</v>
      </c>
      <c r="F26" s="2">
        <v>72.419169632000006</v>
      </c>
      <c r="G26" s="2" t="s">
        <v>54</v>
      </c>
      <c r="H26" s="2" t="s">
        <v>54</v>
      </c>
      <c r="I26" s="2" t="s">
        <v>54</v>
      </c>
      <c r="J26" s="2" t="s">
        <v>54</v>
      </c>
      <c r="K26" s="2" t="s">
        <v>54</v>
      </c>
      <c r="L26" s="2" t="s">
        <v>54</v>
      </c>
      <c r="M26" s="2" t="s">
        <v>54</v>
      </c>
      <c r="N26" s="2" t="s">
        <v>54</v>
      </c>
      <c r="O26" s="2" t="s">
        <v>54</v>
      </c>
      <c r="P26" s="2" t="s">
        <v>54</v>
      </c>
      <c r="Q26" s="2" t="s">
        <v>54</v>
      </c>
      <c r="R26" s="2" t="s">
        <v>54</v>
      </c>
      <c r="S26" s="2" t="s">
        <v>54</v>
      </c>
      <c r="T26" s="2" t="s">
        <v>54</v>
      </c>
      <c r="U26" s="2" t="s">
        <v>54</v>
      </c>
      <c r="V26" s="2" t="s">
        <v>54</v>
      </c>
      <c r="W26" s="2" t="s">
        <v>54</v>
      </c>
      <c r="X26" s="2" t="s">
        <v>54</v>
      </c>
      <c r="Y26" s="2" t="s">
        <v>54</v>
      </c>
      <c r="Z26" s="2"/>
      <c r="AA26" s="2"/>
      <c r="AB26" s="2"/>
      <c r="AC26" s="2"/>
    </row>
    <row r="27" spans="1:29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O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x14ac:dyDescent="0.25">
      <c r="A28" s="2" t="s">
        <v>56</v>
      </c>
      <c r="B28" s="77" t="s">
        <v>259</v>
      </c>
      <c r="C28" s="2"/>
      <c r="D28" s="2"/>
      <c r="Y28" s="2"/>
    </row>
    <row r="29" spans="1:29" x14ac:dyDescent="0.25">
      <c r="A29" s="2" t="s">
        <v>57</v>
      </c>
      <c r="B29" s="28">
        <v>43801</v>
      </c>
      <c r="C29" s="2"/>
      <c r="D29" s="2"/>
      <c r="Y29" s="2"/>
    </row>
    <row r="30" spans="1:29" x14ac:dyDescent="0.25">
      <c r="Y30" s="2"/>
    </row>
    <row r="35" spans="4:17" x14ac:dyDescent="0.25">
      <c r="K35"/>
      <c r="O35" s="2"/>
      <c r="P35"/>
      <c r="Q35" s="2"/>
    </row>
    <row r="36" spans="4:17" x14ac:dyDescent="0.25">
      <c r="K36"/>
      <c r="O36" s="2"/>
      <c r="P36"/>
      <c r="Q36" s="2"/>
    </row>
    <row r="37" spans="4:17" x14ac:dyDescent="0.25">
      <c r="K37"/>
      <c r="O37" s="2"/>
      <c r="P37"/>
      <c r="Q37" s="2"/>
    </row>
    <row r="38" spans="4:17" x14ac:dyDescent="0.25">
      <c r="K38"/>
      <c r="O38" s="2"/>
      <c r="P38"/>
      <c r="Q38" s="2"/>
    </row>
    <row r="39" spans="4:17" x14ac:dyDescent="0.25">
      <c r="K39"/>
      <c r="O39" s="2"/>
      <c r="P39"/>
      <c r="Q39" s="2"/>
    </row>
    <row r="40" spans="4:17" x14ac:dyDescent="0.25">
      <c r="K40"/>
      <c r="O40" s="2"/>
      <c r="P40"/>
      <c r="Q40" s="2"/>
    </row>
    <row r="41" spans="4:17" x14ac:dyDescent="0.25">
      <c r="K41"/>
      <c r="O41" s="2"/>
      <c r="P41"/>
      <c r="Q41" s="2"/>
    </row>
    <row r="42" spans="4:17" x14ac:dyDescent="0.25">
      <c r="K42"/>
      <c r="O42" s="2"/>
      <c r="P42"/>
      <c r="Q42" s="2"/>
    </row>
    <row r="43" spans="4:17" x14ac:dyDescent="0.25">
      <c r="K43"/>
      <c r="O43" s="2"/>
      <c r="P43"/>
      <c r="Q43" s="2"/>
    </row>
    <row r="44" spans="4:17" x14ac:dyDescent="0.25">
      <c r="K44"/>
      <c r="O44" s="2"/>
      <c r="P44"/>
      <c r="Q44" s="2"/>
    </row>
    <row r="45" spans="4:17" x14ac:dyDescent="0.25">
      <c r="D45" s="1"/>
      <c r="G45" s="1"/>
      <c r="K45"/>
      <c r="O45" s="2"/>
      <c r="P45" s="1"/>
      <c r="Q45" s="2"/>
    </row>
    <row r="46" spans="4:17" x14ac:dyDescent="0.25">
      <c r="K46"/>
      <c r="O46" s="2"/>
      <c r="P46"/>
      <c r="Q46" s="2"/>
    </row>
    <row r="47" spans="4:17" x14ac:dyDescent="0.25">
      <c r="K47"/>
      <c r="O47" s="2"/>
      <c r="P47"/>
      <c r="Q47" s="2"/>
    </row>
    <row r="48" spans="4:17" x14ac:dyDescent="0.25">
      <c r="K48"/>
      <c r="O48" s="2"/>
      <c r="P48"/>
      <c r="Q48" s="2"/>
    </row>
    <row r="49" spans="11:17" x14ac:dyDescent="0.25">
      <c r="K49"/>
      <c r="O49" s="2"/>
      <c r="P49"/>
      <c r="Q49" s="2"/>
    </row>
    <row r="50" spans="11:17" x14ac:dyDescent="0.25">
      <c r="K50"/>
      <c r="O50" s="2"/>
      <c r="P50"/>
      <c r="Q50" s="2"/>
    </row>
    <row r="51" spans="11:17" x14ac:dyDescent="0.25">
      <c r="K51"/>
      <c r="O51" s="2"/>
      <c r="P51"/>
      <c r="Q51" s="2"/>
    </row>
    <row r="52" spans="11:17" x14ac:dyDescent="0.25">
      <c r="K52"/>
      <c r="O52" s="2"/>
      <c r="P52"/>
      <c r="Q52" s="2"/>
    </row>
    <row r="53" spans="11:17" x14ac:dyDescent="0.25">
      <c r="K53"/>
      <c r="O53" s="2"/>
      <c r="P53"/>
      <c r="Q53" s="2"/>
    </row>
    <row r="54" spans="11:17" x14ac:dyDescent="0.25">
      <c r="K54"/>
      <c r="O54" s="2"/>
      <c r="P54"/>
      <c r="Q54" s="2"/>
    </row>
    <row r="55" spans="11:17" x14ac:dyDescent="0.25">
      <c r="K55"/>
      <c r="O55" s="2"/>
      <c r="P55"/>
      <c r="Q55" s="2"/>
    </row>
    <row r="56" spans="11:17" x14ac:dyDescent="0.25">
      <c r="K56"/>
      <c r="O56" s="2"/>
      <c r="P56"/>
      <c r="Q56" s="2"/>
    </row>
    <row r="57" spans="11:17" x14ac:dyDescent="0.25">
      <c r="K57"/>
      <c r="O57" s="2"/>
      <c r="P57"/>
      <c r="Q57" s="2"/>
    </row>
    <row r="58" spans="11:17" x14ac:dyDescent="0.25">
      <c r="K58"/>
      <c r="O58" s="2"/>
      <c r="P58"/>
      <c r="Q58" s="2"/>
    </row>
    <row r="59" spans="11:17" x14ac:dyDescent="0.25">
      <c r="K59"/>
      <c r="O59" s="2"/>
      <c r="P59"/>
      <c r="Q59" s="2"/>
    </row>
    <row r="60" spans="11:17" x14ac:dyDescent="0.25">
      <c r="K60"/>
      <c r="O60" s="2"/>
      <c r="P60"/>
      <c r="Q60" s="2"/>
    </row>
    <row r="61" spans="11:17" x14ac:dyDescent="0.25">
      <c r="K61"/>
      <c r="O61" s="2"/>
      <c r="P61"/>
      <c r="Q61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W44"/>
  <sheetViews>
    <sheetView workbookViewId="0">
      <selection activeCell="O13" sqref="O13"/>
    </sheetView>
  </sheetViews>
  <sheetFormatPr defaultRowHeight="15" x14ac:dyDescent="0.25"/>
  <cols>
    <col min="1" max="1" width="25.5703125" customWidth="1"/>
    <col min="2" max="2" width="10.5703125" customWidth="1"/>
    <col min="3" max="6" width="9.140625" customWidth="1"/>
    <col min="9" max="9" width="14" bestFit="1" customWidth="1"/>
    <col min="10" max="10" width="13.140625" bestFit="1" customWidth="1"/>
    <col min="11" max="11" width="13.5703125" bestFit="1" customWidth="1"/>
    <col min="12" max="12" width="12.42578125" bestFit="1" customWidth="1"/>
    <col min="13" max="13" width="14.5703125" bestFit="1" customWidth="1"/>
    <col min="14" max="14" width="13.7109375" bestFit="1" customWidth="1"/>
    <col min="15" max="15" width="14.140625" bestFit="1" customWidth="1"/>
    <col min="16" max="16" width="13.140625" bestFit="1" customWidth="1"/>
    <col min="17" max="17" width="11.85546875" bestFit="1" customWidth="1"/>
    <col min="18" max="18" width="12.42578125" bestFit="1" customWidth="1"/>
    <col min="19" max="19" width="8.85546875" bestFit="1" customWidth="1"/>
  </cols>
  <sheetData>
    <row r="1" spans="1:17" s="2" customFormat="1" x14ac:dyDescent="0.25">
      <c r="A1" s="2" t="s">
        <v>249</v>
      </c>
    </row>
    <row r="2" spans="1:17" s="2" customFormat="1" x14ac:dyDescent="0.25">
      <c r="A2" s="2" t="s">
        <v>262</v>
      </c>
    </row>
    <row r="3" spans="1:17" s="2" customFormat="1" x14ac:dyDescent="0.25">
      <c r="A3" s="2" t="s">
        <v>263</v>
      </c>
    </row>
    <row r="4" spans="1:17" s="2" customFormat="1" x14ac:dyDescent="0.25">
      <c r="A4" s="2" t="s">
        <v>78</v>
      </c>
      <c r="B4" s="2" t="s">
        <v>79</v>
      </c>
      <c r="C4" s="2" t="s">
        <v>250</v>
      </c>
      <c r="D4" s="2" t="s">
        <v>251</v>
      </c>
      <c r="E4" s="2" t="s">
        <v>81</v>
      </c>
      <c r="F4" s="2" t="s">
        <v>82</v>
      </c>
      <c r="G4" s="2" t="s">
        <v>22</v>
      </c>
      <c r="H4" s="2" t="s">
        <v>23</v>
      </c>
      <c r="I4" s="2" t="s">
        <v>24</v>
      </c>
      <c r="J4" s="2" t="s">
        <v>20</v>
      </c>
      <c r="K4" s="2" t="s">
        <v>31</v>
      </c>
      <c r="L4" s="2" t="s">
        <v>32</v>
      </c>
      <c r="M4" s="2" t="s">
        <v>33</v>
      </c>
      <c r="N4" s="2" t="s">
        <v>29</v>
      </c>
      <c r="O4" s="2" t="s">
        <v>47</v>
      </c>
      <c r="P4" s="2" t="s">
        <v>48</v>
      </c>
      <c r="Q4" s="2" t="s">
        <v>83</v>
      </c>
    </row>
    <row r="5" spans="1:17" s="2" customFormat="1" x14ac:dyDescent="0.25">
      <c r="A5" s="2" t="s">
        <v>87</v>
      </c>
      <c r="B5" s="2" t="s">
        <v>86</v>
      </c>
      <c r="C5" s="2" t="s">
        <v>252</v>
      </c>
      <c r="D5" s="2">
        <v>170</v>
      </c>
      <c r="E5" s="2">
        <v>186215</v>
      </c>
      <c r="F5" s="2">
        <v>91.292323390000007</v>
      </c>
      <c r="G5" s="2" t="s">
        <v>54</v>
      </c>
      <c r="H5" s="2" t="s">
        <v>54</v>
      </c>
      <c r="I5" s="2" t="s">
        <v>54</v>
      </c>
      <c r="J5" s="2" t="s">
        <v>54</v>
      </c>
      <c r="K5" s="2" t="s">
        <v>54</v>
      </c>
      <c r="L5" s="2" t="s">
        <v>54</v>
      </c>
      <c r="M5" s="2" t="s">
        <v>54</v>
      </c>
      <c r="N5" s="2" t="s">
        <v>54</v>
      </c>
      <c r="O5" s="2" t="s">
        <v>54</v>
      </c>
      <c r="P5" s="2" t="s">
        <v>54</v>
      </c>
      <c r="Q5" s="2" t="s">
        <v>54</v>
      </c>
    </row>
    <row r="6" spans="1:17" s="2" customFormat="1" x14ac:dyDescent="0.25">
      <c r="A6" s="2" t="s">
        <v>85</v>
      </c>
      <c r="B6" s="2" t="s">
        <v>84</v>
      </c>
      <c r="C6" s="2" t="s">
        <v>252</v>
      </c>
      <c r="D6" s="2">
        <v>32</v>
      </c>
      <c r="E6" s="2">
        <v>58158</v>
      </c>
      <c r="F6" s="2">
        <v>55.022524846000003</v>
      </c>
      <c r="G6" s="2" t="s">
        <v>54</v>
      </c>
      <c r="H6" s="2" t="s">
        <v>54</v>
      </c>
      <c r="I6" s="2" t="s">
        <v>54</v>
      </c>
      <c r="J6" s="2" t="s">
        <v>54</v>
      </c>
      <c r="K6" s="2" t="s">
        <v>54</v>
      </c>
      <c r="L6" s="2" t="s">
        <v>54</v>
      </c>
      <c r="M6" s="2" t="s">
        <v>54</v>
      </c>
      <c r="N6" s="2" t="s">
        <v>54</v>
      </c>
      <c r="O6" s="2" t="s">
        <v>54</v>
      </c>
      <c r="P6" s="2" t="s">
        <v>54</v>
      </c>
      <c r="Q6" s="2" t="s">
        <v>54</v>
      </c>
    </row>
    <row r="7" spans="1:17" s="2" customFormat="1" x14ac:dyDescent="0.25">
      <c r="A7" s="2" t="s">
        <v>85</v>
      </c>
      <c r="B7" s="2" t="s">
        <v>86</v>
      </c>
      <c r="C7" s="2" t="s">
        <v>252</v>
      </c>
      <c r="D7" s="2">
        <v>15</v>
      </c>
      <c r="E7" s="2">
        <v>35306</v>
      </c>
      <c r="F7" s="2">
        <v>42.485696482000002</v>
      </c>
      <c r="G7" s="2" t="s">
        <v>54</v>
      </c>
      <c r="H7" s="2" t="s">
        <v>54</v>
      </c>
      <c r="I7" s="2" t="s">
        <v>54</v>
      </c>
      <c r="J7" s="2" t="s">
        <v>54</v>
      </c>
      <c r="K7" s="2" t="s">
        <v>54</v>
      </c>
      <c r="L7" s="2" t="s">
        <v>54</v>
      </c>
      <c r="M7" s="2" t="s">
        <v>54</v>
      </c>
      <c r="N7" s="2" t="s">
        <v>54</v>
      </c>
      <c r="O7" s="2" t="s">
        <v>54</v>
      </c>
      <c r="P7" s="2" t="s">
        <v>54</v>
      </c>
      <c r="Q7" s="2" t="s">
        <v>54</v>
      </c>
    </row>
    <row r="8" spans="1:17" s="2" customFormat="1" x14ac:dyDescent="0.25">
      <c r="A8" s="2" t="s">
        <v>74</v>
      </c>
      <c r="B8" s="2" t="s">
        <v>84</v>
      </c>
      <c r="C8" s="2" t="s">
        <v>253</v>
      </c>
      <c r="D8" s="2">
        <v>28</v>
      </c>
      <c r="E8" s="2">
        <v>133930</v>
      </c>
      <c r="F8" s="2">
        <v>20.906443665000001</v>
      </c>
      <c r="G8" s="2" t="s">
        <v>54</v>
      </c>
      <c r="H8" s="2" t="s">
        <v>54</v>
      </c>
      <c r="I8" s="2" t="s">
        <v>54</v>
      </c>
      <c r="J8" s="2" t="s">
        <v>54</v>
      </c>
      <c r="K8" s="2">
        <v>2.6318452687999998</v>
      </c>
      <c r="L8" s="2">
        <v>1.5848604465</v>
      </c>
      <c r="M8" s="2">
        <v>4.3704854483000002</v>
      </c>
      <c r="N8" s="2">
        <v>1.843933E-4</v>
      </c>
      <c r="O8" s="2" t="s">
        <v>54</v>
      </c>
      <c r="P8" s="2" t="s">
        <v>98</v>
      </c>
      <c r="Q8" s="2" t="s">
        <v>54</v>
      </c>
    </row>
    <row r="9" spans="1:17" s="2" customFormat="1" x14ac:dyDescent="0.25">
      <c r="A9" s="2" t="s">
        <v>74</v>
      </c>
      <c r="B9" s="2" t="s">
        <v>84</v>
      </c>
      <c r="C9" s="2" t="s">
        <v>254</v>
      </c>
      <c r="D9" s="2">
        <v>20</v>
      </c>
      <c r="E9" s="2">
        <v>148401</v>
      </c>
      <c r="F9" s="2">
        <v>13.476998133</v>
      </c>
      <c r="G9" s="2" t="s">
        <v>54</v>
      </c>
      <c r="H9" s="2" t="s">
        <v>54</v>
      </c>
      <c r="I9" s="2" t="s">
        <v>54</v>
      </c>
      <c r="J9" s="2" t="s">
        <v>54</v>
      </c>
      <c r="K9" s="2">
        <v>4.0826988548000003</v>
      </c>
      <c r="L9" s="2">
        <v>2.3351650209999999</v>
      </c>
      <c r="M9" s="2">
        <v>7.1380094294000003</v>
      </c>
      <c r="N9" s="1">
        <v>8.0054543000000005E-7</v>
      </c>
      <c r="O9" s="2" t="s">
        <v>54</v>
      </c>
      <c r="P9" s="2" t="s">
        <v>98</v>
      </c>
      <c r="Q9" s="2" t="s">
        <v>54</v>
      </c>
    </row>
    <row r="10" spans="1:17" s="2" customFormat="1" x14ac:dyDescent="0.25">
      <c r="A10" s="2" t="s">
        <v>74</v>
      </c>
      <c r="B10" s="2" t="s">
        <v>84</v>
      </c>
      <c r="C10" s="2" t="s">
        <v>255</v>
      </c>
      <c r="D10" s="2">
        <v>24</v>
      </c>
      <c r="E10" s="2">
        <v>156035</v>
      </c>
      <c r="F10" s="2">
        <v>15.381164482000001</v>
      </c>
      <c r="G10" s="2" t="s">
        <v>54</v>
      </c>
      <c r="H10" s="2" t="s">
        <v>54</v>
      </c>
      <c r="I10" s="2" t="s">
        <v>54</v>
      </c>
      <c r="J10" s="2" t="s">
        <v>54</v>
      </c>
      <c r="K10" s="2">
        <v>3.5772665267999999</v>
      </c>
      <c r="L10" s="2">
        <v>2.1071750333999999</v>
      </c>
      <c r="M10" s="2">
        <v>6.0729818838999998</v>
      </c>
      <c r="N10" s="1">
        <v>2.3561589999999999E-6</v>
      </c>
      <c r="O10" s="2" t="s">
        <v>54</v>
      </c>
      <c r="P10" s="2" t="s">
        <v>98</v>
      </c>
      <c r="Q10" s="2" t="s">
        <v>54</v>
      </c>
    </row>
    <row r="11" spans="1:17" s="2" customFormat="1" x14ac:dyDescent="0.25">
      <c r="A11" s="2" t="s">
        <v>74</v>
      </c>
      <c r="B11" s="2" t="s">
        <v>84</v>
      </c>
      <c r="C11" s="2" t="s">
        <v>256</v>
      </c>
      <c r="D11" s="2">
        <v>16</v>
      </c>
      <c r="E11" s="2">
        <v>166577</v>
      </c>
      <c r="F11" s="2">
        <v>9.6051675801999998</v>
      </c>
      <c r="G11" s="2" t="s">
        <v>54</v>
      </c>
      <c r="H11" s="2" t="s">
        <v>54</v>
      </c>
      <c r="I11" s="2" t="s">
        <v>54</v>
      </c>
      <c r="J11" s="2" t="s">
        <v>54</v>
      </c>
      <c r="K11" s="2">
        <v>5.7284294508000002</v>
      </c>
      <c r="L11" s="2">
        <v>3.1434704902999999</v>
      </c>
      <c r="M11" s="2">
        <v>10.439068562999999</v>
      </c>
      <c r="N11" s="1">
        <v>1.1939505999999999E-8</v>
      </c>
      <c r="O11" s="2" t="s">
        <v>54</v>
      </c>
      <c r="P11" s="2" t="s">
        <v>98</v>
      </c>
      <c r="Q11" s="1" t="s">
        <v>54</v>
      </c>
    </row>
    <row r="12" spans="1:17" s="2" customFormat="1" x14ac:dyDescent="0.25">
      <c r="A12" s="2" t="s">
        <v>74</v>
      </c>
      <c r="B12" s="2" t="s">
        <v>84</v>
      </c>
      <c r="C12" s="2" t="s">
        <v>257</v>
      </c>
      <c r="D12" s="2">
        <v>30</v>
      </c>
      <c r="E12" s="2">
        <v>185486</v>
      </c>
      <c r="F12" s="2">
        <v>16.173727397</v>
      </c>
      <c r="G12" s="2" t="s">
        <v>54</v>
      </c>
      <c r="H12" s="2" t="s">
        <v>54</v>
      </c>
      <c r="I12" s="2" t="s">
        <v>54</v>
      </c>
      <c r="J12" s="2" t="s">
        <v>54</v>
      </c>
      <c r="K12" s="2">
        <v>3.4019693479000002</v>
      </c>
      <c r="L12" s="2">
        <v>2.0673423931000001</v>
      </c>
      <c r="M12" s="2">
        <v>5.5981996415999999</v>
      </c>
      <c r="N12" s="1">
        <v>1.4516443E-6</v>
      </c>
      <c r="O12" s="2" t="s">
        <v>54</v>
      </c>
      <c r="P12" s="2" t="s">
        <v>98</v>
      </c>
      <c r="Q12" s="1" t="s">
        <v>54</v>
      </c>
    </row>
    <row r="13" spans="1:17" s="2" customFormat="1" x14ac:dyDescent="0.25">
      <c r="A13" s="2" t="s">
        <v>74</v>
      </c>
      <c r="B13" s="2" t="s">
        <v>86</v>
      </c>
      <c r="C13" s="2" t="s">
        <v>253</v>
      </c>
      <c r="D13" s="2">
        <v>15</v>
      </c>
      <c r="E13" s="2">
        <v>71214</v>
      </c>
      <c r="F13" s="2">
        <v>21.063274074999999</v>
      </c>
      <c r="G13" s="2">
        <v>4.3341943452000002</v>
      </c>
      <c r="H13" s="2">
        <v>2.5564534086999999</v>
      </c>
      <c r="I13" s="2">
        <v>7.3481646716000002</v>
      </c>
      <c r="J13" s="1">
        <v>5.1882086999999999E-8</v>
      </c>
      <c r="K13" s="2">
        <v>2.0170509262</v>
      </c>
      <c r="L13" s="2">
        <v>0.98605696679999999</v>
      </c>
      <c r="M13" s="2">
        <v>4.1260237245000004</v>
      </c>
      <c r="N13" s="2">
        <v>5.46673534E-2</v>
      </c>
      <c r="O13" s="1" t="s">
        <v>99</v>
      </c>
      <c r="P13" s="2" t="s">
        <v>54</v>
      </c>
      <c r="Q13" s="1" t="s">
        <v>54</v>
      </c>
    </row>
    <row r="14" spans="1:17" s="2" customFormat="1" x14ac:dyDescent="0.25">
      <c r="A14" s="2" t="s">
        <v>74</v>
      </c>
      <c r="B14" s="2" t="s">
        <v>86</v>
      </c>
      <c r="C14" s="2" t="s">
        <v>254</v>
      </c>
      <c r="D14" s="2">
        <v>18</v>
      </c>
      <c r="E14" s="2">
        <v>87946</v>
      </c>
      <c r="F14" s="2">
        <v>20.467104813999999</v>
      </c>
      <c r="G14" s="2">
        <v>4.4604414848999996</v>
      </c>
      <c r="H14" s="2">
        <v>2.7440581849000001</v>
      </c>
      <c r="I14" s="2">
        <v>7.2504068426000003</v>
      </c>
      <c r="J14" s="1">
        <v>1.6147545E-9</v>
      </c>
      <c r="K14" s="2">
        <v>2.0758039238000001</v>
      </c>
      <c r="L14" s="2">
        <v>1.0461736049000001</v>
      </c>
      <c r="M14" s="2">
        <v>4.1187828769000001</v>
      </c>
      <c r="N14" s="2">
        <v>3.6700526900000002E-2</v>
      </c>
      <c r="O14" s="1" t="s">
        <v>99</v>
      </c>
      <c r="P14" s="2" t="s">
        <v>54</v>
      </c>
      <c r="Q14" s="1" t="s">
        <v>54</v>
      </c>
    </row>
    <row r="15" spans="1:17" s="2" customFormat="1" x14ac:dyDescent="0.25">
      <c r="A15" s="2" t="s">
        <v>74</v>
      </c>
      <c r="B15" s="2" t="s">
        <v>86</v>
      </c>
      <c r="C15" s="2" t="s">
        <v>255</v>
      </c>
      <c r="D15" s="2">
        <v>27</v>
      </c>
      <c r="E15" s="2">
        <v>105272</v>
      </c>
      <c r="F15" s="2">
        <v>25.647845580999999</v>
      </c>
      <c r="G15" s="2">
        <v>3.5594538770000002</v>
      </c>
      <c r="H15" s="2">
        <v>2.3715920449999999</v>
      </c>
      <c r="I15" s="2">
        <v>5.3422813291000004</v>
      </c>
      <c r="J15" s="1">
        <v>8.8802790000000004E-10</v>
      </c>
      <c r="K15" s="2">
        <v>1.6565015703999999</v>
      </c>
      <c r="L15" s="2">
        <v>0.88120897769999995</v>
      </c>
      <c r="M15" s="2">
        <v>3.1139009273</v>
      </c>
      <c r="N15" s="2">
        <v>0.1170523192</v>
      </c>
      <c r="O15" s="1" t="s">
        <v>99</v>
      </c>
      <c r="P15" s="2" t="s">
        <v>54</v>
      </c>
      <c r="Q15" s="1" t="s">
        <v>54</v>
      </c>
    </row>
    <row r="16" spans="1:17" s="2" customFormat="1" x14ac:dyDescent="0.25">
      <c r="A16" s="2" t="s">
        <v>74</v>
      </c>
      <c r="B16" s="2" t="s">
        <v>86</v>
      </c>
      <c r="C16" s="2" t="s">
        <v>256</v>
      </c>
      <c r="D16" s="2">
        <v>28</v>
      </c>
      <c r="E16" s="2">
        <v>116210</v>
      </c>
      <c r="F16" s="2">
        <v>24.094312021</v>
      </c>
      <c r="G16" s="2">
        <v>3.7889574647000002</v>
      </c>
      <c r="H16" s="2">
        <v>2.5404755110999999</v>
      </c>
      <c r="I16" s="2">
        <v>5.6509888035999998</v>
      </c>
      <c r="J16" s="1">
        <v>6.5167780000000004E-11</v>
      </c>
      <c r="K16" s="2">
        <v>1.7633081386</v>
      </c>
      <c r="L16" s="2">
        <v>0.9418224811</v>
      </c>
      <c r="M16" s="1">
        <v>3.3013180870999999</v>
      </c>
      <c r="N16" s="2">
        <v>7.6288571599999994E-2</v>
      </c>
      <c r="O16" s="1" t="s">
        <v>99</v>
      </c>
      <c r="P16" s="2" t="s">
        <v>54</v>
      </c>
      <c r="Q16" s="1" t="s">
        <v>54</v>
      </c>
    </row>
    <row r="17" spans="1:23" s="2" customFormat="1" x14ac:dyDescent="0.25">
      <c r="A17" s="2" t="s">
        <v>74</v>
      </c>
      <c r="B17" s="2" t="s">
        <v>86</v>
      </c>
      <c r="C17" s="2" t="s">
        <v>257</v>
      </c>
      <c r="D17" s="2">
        <v>33</v>
      </c>
      <c r="E17" s="2">
        <v>125957</v>
      </c>
      <c r="F17" s="2">
        <v>26.199417261000001</v>
      </c>
      <c r="G17" s="2">
        <v>3.4845173263999998</v>
      </c>
      <c r="H17" s="2">
        <v>2.4000660256000002</v>
      </c>
      <c r="I17" s="2">
        <v>5.0589695735999998</v>
      </c>
      <c r="J17" s="1">
        <v>5.2948770000000003E-11</v>
      </c>
      <c r="K17" s="2">
        <v>1.6216275368999999</v>
      </c>
      <c r="L17" s="2">
        <v>0.88082028850000005</v>
      </c>
      <c r="M17" s="1">
        <v>2.9854851242999998</v>
      </c>
      <c r="N17" s="2">
        <v>0.1205561057</v>
      </c>
      <c r="O17" s="1" t="s">
        <v>99</v>
      </c>
      <c r="P17" s="2" t="s">
        <v>54</v>
      </c>
      <c r="Q17" s="1" t="s">
        <v>54</v>
      </c>
    </row>
    <row r="18" spans="1:23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1"/>
      <c r="N18" s="2"/>
      <c r="O18" s="1"/>
      <c r="P18" s="2"/>
      <c r="Q18" s="1"/>
      <c r="R18" s="2"/>
      <c r="S18" s="2"/>
      <c r="T18" s="2"/>
    </row>
    <row r="19" spans="1:23" x14ac:dyDescent="0.25">
      <c r="A19" t="s">
        <v>56</v>
      </c>
      <c r="B19" s="76" t="s">
        <v>260</v>
      </c>
    </row>
    <row r="20" spans="1:23" x14ac:dyDescent="0.25">
      <c r="A20" t="s">
        <v>57</v>
      </c>
      <c r="B20" s="28">
        <v>43801</v>
      </c>
    </row>
    <row r="22" spans="1:23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7" spans="1:23" x14ac:dyDescent="0.25">
      <c r="V27" s="2"/>
      <c r="W27" s="2"/>
    </row>
    <row r="28" spans="1:23" x14ac:dyDescent="0.25">
      <c r="U28" s="2"/>
      <c r="V28" s="2"/>
      <c r="W28" s="2"/>
    </row>
    <row r="29" spans="1:23" s="2" customFormat="1" x14ac:dyDescent="0.25"/>
    <row r="30" spans="1:23" s="2" customFormat="1" x14ac:dyDescent="0.25"/>
    <row r="31" spans="1:23" x14ac:dyDescent="0.25">
      <c r="U31" s="2"/>
      <c r="V31" s="2"/>
      <c r="W31" s="2"/>
    </row>
    <row r="32" spans="1:23" x14ac:dyDescent="0.25">
      <c r="N32" s="1"/>
      <c r="U32" s="2"/>
      <c r="V32" s="2"/>
      <c r="W32" s="2"/>
    </row>
    <row r="33" spans="10:23" x14ac:dyDescent="0.25">
      <c r="N33" s="1"/>
      <c r="U33" s="2"/>
      <c r="V33" s="2"/>
      <c r="W33" s="2"/>
    </row>
    <row r="34" spans="10:23" x14ac:dyDescent="0.25">
      <c r="N34" s="1"/>
      <c r="Q34" s="1"/>
      <c r="U34" s="2"/>
      <c r="V34" s="2"/>
      <c r="W34" s="2"/>
    </row>
    <row r="35" spans="10:23" x14ac:dyDescent="0.25">
      <c r="N35" s="1"/>
      <c r="Q35" s="1"/>
      <c r="U35" s="2"/>
      <c r="V35" s="2"/>
      <c r="W35" s="2"/>
    </row>
    <row r="36" spans="10:23" x14ac:dyDescent="0.25">
      <c r="J36" s="1"/>
      <c r="O36" s="1"/>
      <c r="Q36" s="1"/>
      <c r="U36" s="2"/>
      <c r="V36" s="2"/>
      <c r="W36" s="2"/>
    </row>
    <row r="37" spans="10:23" x14ac:dyDescent="0.25">
      <c r="J37" s="1"/>
      <c r="O37" s="1"/>
      <c r="Q37" s="1"/>
      <c r="U37" s="2"/>
      <c r="V37" s="2"/>
      <c r="W37" s="2"/>
    </row>
    <row r="38" spans="10:23" x14ac:dyDescent="0.25">
      <c r="J38" s="1"/>
      <c r="O38" s="1"/>
      <c r="Q38" s="1"/>
      <c r="U38" s="2"/>
      <c r="V38" s="2"/>
      <c r="W38" s="2"/>
    </row>
    <row r="39" spans="10:23" x14ac:dyDescent="0.25">
      <c r="J39" s="1"/>
      <c r="M39" s="1"/>
      <c r="O39" s="1"/>
      <c r="Q39" s="1"/>
      <c r="U39" s="2"/>
      <c r="V39" s="2"/>
      <c r="W39" s="2"/>
    </row>
    <row r="40" spans="10:23" x14ac:dyDescent="0.25">
      <c r="J40" s="1"/>
      <c r="M40" s="1"/>
      <c r="O40" s="1"/>
      <c r="Q40" s="1"/>
      <c r="U40" s="2"/>
      <c r="V40" s="2"/>
      <c r="W40" s="2"/>
    </row>
    <row r="41" spans="10:23" x14ac:dyDescent="0.25">
      <c r="M41" s="1"/>
      <c r="O41" s="1"/>
      <c r="Q41" s="1"/>
      <c r="U41" s="2"/>
      <c r="V41" s="2"/>
      <c r="W41" s="2"/>
    </row>
    <row r="42" spans="10:23" x14ac:dyDescent="0.25">
      <c r="M42" s="1"/>
      <c r="O42" s="1"/>
      <c r="Q42" s="1"/>
      <c r="U42" s="2"/>
      <c r="V42" s="2"/>
      <c r="W42" s="2"/>
    </row>
    <row r="43" spans="10:23" x14ac:dyDescent="0.25">
      <c r="M43" s="1"/>
      <c r="O43" s="1"/>
      <c r="Q43" s="1"/>
      <c r="U43" s="2"/>
      <c r="V43" s="2"/>
      <c r="W43" s="2"/>
    </row>
    <row r="44" spans="10:23" x14ac:dyDescent="0.25">
      <c r="U44" s="2"/>
      <c r="V44" s="2"/>
      <c r="W4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Appendix Tables</vt:lpstr>
      <vt:lpstr>Dashboard</vt:lpstr>
      <vt:lpstr>Data_Sheet</vt:lpstr>
      <vt:lpstr>orig_rha</vt:lpstr>
      <vt:lpstr>orig_treaty</vt:lpstr>
      <vt:lpstr>orig_tribal</vt:lpstr>
      <vt:lpstr>orig_income</vt:lpstr>
      <vt:lpstr>RHA_Graph</vt:lpstr>
      <vt:lpstr>TreatyArea</vt:lpstr>
      <vt:lpstr>Income_quint_LH</vt:lpstr>
      <vt:lpstr>'Appendix Tables'!Print_Area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Cara Jonasson</cp:lastModifiedBy>
  <cp:lastPrinted>2020-10-20T14:42:00Z</cp:lastPrinted>
  <dcterms:created xsi:type="dcterms:W3CDTF">2014-11-19T15:50:24Z</dcterms:created>
  <dcterms:modified xsi:type="dcterms:W3CDTF">2022-01-19T17:04:57Z</dcterms:modified>
</cp:coreProperties>
</file>