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fnkids\Figures_tables\Fig_Tbl_Online_Supplement\"/>
    </mc:Choice>
  </mc:AlternateContent>
  <bookViews>
    <workbookView xWindow="0" yWindow="0" windowWidth="11400" windowHeight="9108" tabRatio="894"/>
  </bookViews>
  <sheets>
    <sheet name="Appendix Tables" sheetId="19" r:id="rId1"/>
    <sheet name="RHA_Graph" sheetId="5" r:id="rId2"/>
    <sheet name="Income_quint_LH" sheetId="22" r:id="rId3"/>
    <sheet name="Dashboard" sheetId="21" r:id="rId4"/>
    <sheet name="Data_Sheet" sheetId="4" r:id="rId5"/>
    <sheet name="orig_rha" sheetId="15" r:id="rId6"/>
    <sheet name="orig_tribal" sheetId="17" r:id="rId7"/>
    <sheet name="orig_income" sheetId="20" r:id="rId8"/>
  </sheets>
  <externalReferences>
    <externalReference r:id="rId9"/>
  </externalReferences>
  <definedNames>
    <definedName name="Criteria1">IF((CELL("contents",'[1]district graph data'!E1))="2"," (2)")</definedName>
    <definedName name="_xlnm.Print_Area" localSheetId="0">'Appendix Tables'!$B$1:$K$27</definedName>
  </definedNames>
  <calcPr calcId="162913"/>
</workbook>
</file>

<file path=xl/calcChain.xml><?xml version="1.0" encoding="utf-8"?>
<calcChain xmlns="http://schemas.openxmlformats.org/spreadsheetml/2006/main">
  <c r="J44" i="4" l="1"/>
  <c r="G38" i="4"/>
  <c r="G39" i="4"/>
  <c r="G37" i="4"/>
  <c r="G40" i="4"/>
  <c r="G36" i="4"/>
  <c r="G43" i="4"/>
  <c r="G42" i="4"/>
  <c r="G41" i="4"/>
  <c r="G44" i="4"/>
  <c r="G27" i="4"/>
  <c r="G28" i="4"/>
  <c r="G26" i="4"/>
  <c r="G29" i="4"/>
  <c r="G25" i="4"/>
  <c r="G32" i="4"/>
  <c r="G31" i="4"/>
  <c r="G30" i="4"/>
  <c r="G33" i="4"/>
  <c r="G35" i="4"/>
  <c r="G24" i="4"/>
  <c r="C25" i="21" l="1"/>
  <c r="C23" i="21"/>
  <c r="D23" i="21" s="1"/>
  <c r="C22" i="21"/>
  <c r="D22" i="21" s="1"/>
  <c r="C20" i="21"/>
  <c r="C24" i="21" l="1"/>
  <c r="B16" i="19" l="1"/>
  <c r="B17" i="19"/>
  <c r="B18" i="19"/>
  <c r="B19" i="19"/>
  <c r="B20" i="19"/>
  <c r="B21" i="19"/>
  <c r="B22" i="19"/>
  <c r="B23" i="19"/>
  <c r="B24" i="19"/>
  <c r="B15" i="19"/>
  <c r="D24" i="21"/>
  <c r="B25" i="21"/>
  <c r="I24" i="4"/>
  <c r="B24" i="21"/>
  <c r="D25" i="21"/>
  <c r="H38" i="4"/>
  <c r="H39" i="4"/>
  <c r="H37" i="4"/>
  <c r="H40" i="4"/>
  <c r="H36" i="4"/>
  <c r="H43" i="4"/>
  <c r="H42" i="4"/>
  <c r="H41" i="4"/>
  <c r="H44" i="4"/>
  <c r="H35" i="4"/>
  <c r="I27" i="4"/>
  <c r="I28" i="4"/>
  <c r="I26" i="4"/>
  <c r="I29" i="4"/>
  <c r="I25" i="4"/>
  <c r="I32" i="4"/>
  <c r="I31" i="4"/>
  <c r="I30" i="4"/>
  <c r="I33" i="4"/>
  <c r="C21" i="21"/>
  <c r="B21" i="21"/>
  <c r="B20" i="21"/>
  <c r="D26" i="21" l="1"/>
  <c r="H27" i="4"/>
  <c r="E27" i="4" s="1"/>
  <c r="F27" i="4" s="1"/>
  <c r="H28" i="4"/>
  <c r="E28" i="4" s="1"/>
  <c r="F28" i="4" s="1"/>
  <c r="H26" i="4"/>
  <c r="E26" i="4" s="1"/>
  <c r="F26" i="4" s="1"/>
  <c r="H29" i="4"/>
  <c r="E29" i="4" s="1"/>
  <c r="F29" i="4" s="1"/>
  <c r="H25" i="4"/>
  <c r="E25" i="4" s="1"/>
  <c r="F25" i="4" s="1"/>
  <c r="H32" i="4"/>
  <c r="E32" i="4" s="1"/>
  <c r="F32" i="4" s="1"/>
  <c r="H31" i="4"/>
  <c r="E31" i="4" s="1"/>
  <c r="F31" i="4" s="1"/>
  <c r="H30" i="4"/>
  <c r="E30" i="4" s="1"/>
  <c r="F30" i="4" s="1"/>
  <c r="H33" i="4"/>
  <c r="E33" i="4" s="1"/>
  <c r="F33" i="4" s="1"/>
  <c r="J27" i="4"/>
  <c r="J28" i="4"/>
  <c r="J26" i="4"/>
  <c r="J29" i="4"/>
  <c r="J25" i="4"/>
  <c r="J32" i="4"/>
  <c r="J31" i="4"/>
  <c r="J30" i="4"/>
  <c r="J33" i="4"/>
  <c r="J35" i="4"/>
  <c r="J38" i="4"/>
  <c r="J39" i="4"/>
  <c r="J37" i="4"/>
  <c r="J40" i="4"/>
  <c r="J36" i="4"/>
  <c r="J43" i="4"/>
  <c r="J42" i="4"/>
  <c r="J41" i="4"/>
  <c r="J24" i="4"/>
  <c r="H24" i="4"/>
  <c r="E24" i="4" s="1"/>
  <c r="F24" i="4" s="1"/>
  <c r="F19" i="19" l="1"/>
  <c r="E19" i="19"/>
  <c r="F15" i="19"/>
  <c r="E15" i="19"/>
  <c r="F22" i="19"/>
  <c r="E22" i="19"/>
  <c r="F20" i="19"/>
  <c r="E20" i="19"/>
  <c r="D24" i="19"/>
  <c r="C24" i="19"/>
  <c r="K30" i="4"/>
  <c r="M27" i="4" l="1"/>
  <c r="M28" i="4"/>
  <c r="C17" i="19" s="1"/>
  <c r="M26" i="4"/>
  <c r="C18" i="19" s="1"/>
  <c r="M29" i="4"/>
  <c r="C19" i="19" s="1"/>
  <c r="M25" i="4"/>
  <c r="M32" i="4"/>
  <c r="M31" i="4"/>
  <c r="C22" i="19" s="1"/>
  <c r="M30" i="4"/>
  <c r="C23" i="19" s="1"/>
  <c r="M33" i="4"/>
  <c r="M34" i="4"/>
  <c r="C25" i="19" s="1"/>
  <c r="M35" i="4"/>
  <c r="M38" i="4"/>
  <c r="E16" i="19" s="1"/>
  <c r="M39" i="4"/>
  <c r="M37" i="4"/>
  <c r="M40" i="4"/>
  <c r="M36" i="4"/>
  <c r="M43" i="4"/>
  <c r="M42" i="4"/>
  <c r="M41" i="4"/>
  <c r="M44" i="4"/>
  <c r="E24" i="19" s="1"/>
  <c r="M45" i="4"/>
  <c r="E25" i="19" s="1"/>
  <c r="M24" i="4"/>
  <c r="C15" i="19" s="1"/>
  <c r="K35" i="4"/>
  <c r="K38" i="4"/>
  <c r="F16" i="19" s="1"/>
  <c r="K39" i="4"/>
  <c r="K37" i="4"/>
  <c r="K40" i="4"/>
  <c r="K36" i="4"/>
  <c r="K43" i="4"/>
  <c r="K42" i="4"/>
  <c r="K41" i="4"/>
  <c r="K44" i="4"/>
  <c r="F24" i="19" s="1"/>
  <c r="K45" i="4"/>
  <c r="F25" i="19" s="1"/>
  <c r="K27" i="4"/>
  <c r="K28" i="4"/>
  <c r="K26" i="4"/>
  <c r="D18" i="19" s="1"/>
  <c r="K29" i="4"/>
  <c r="D19" i="19" s="1"/>
  <c r="K25" i="4"/>
  <c r="D20" i="19" s="1"/>
  <c r="K32" i="4"/>
  <c r="K31" i="4"/>
  <c r="D22" i="19" s="1"/>
  <c r="K33" i="4"/>
  <c r="K34" i="4"/>
  <c r="D25" i="19" s="1"/>
  <c r="K24" i="4"/>
  <c r="D16" i="19" l="1"/>
  <c r="C20" i="19"/>
  <c r="F18" i="19"/>
  <c r="F17" i="19"/>
  <c r="E18" i="19"/>
  <c r="E17" i="19"/>
  <c r="F21" i="19"/>
  <c r="F23" i="19"/>
  <c r="E21" i="19"/>
  <c r="E23" i="19"/>
  <c r="C21" i="19"/>
  <c r="D21" i="19"/>
  <c r="D23" i="19"/>
  <c r="D17" i="19"/>
  <c r="C16" i="19"/>
  <c r="L38" i="4"/>
  <c r="L37" i="4"/>
  <c r="L36" i="4"/>
  <c r="L42" i="4"/>
  <c r="L44" i="4"/>
  <c r="L35" i="4"/>
  <c r="L39" i="4"/>
  <c r="L40" i="4"/>
  <c r="L43" i="4"/>
  <c r="L41" i="4"/>
  <c r="L45" i="4"/>
  <c r="K13" i="4" l="1"/>
  <c r="U5" i="4"/>
  <c r="U6" i="4"/>
  <c r="U7" i="4"/>
  <c r="U8" i="4"/>
  <c r="U4" i="4"/>
  <c r="U9" i="4"/>
  <c r="U3" i="4"/>
  <c r="T5" i="4"/>
  <c r="T6" i="4"/>
  <c r="T7" i="4"/>
  <c r="T8" i="4"/>
  <c r="T4" i="4"/>
  <c r="T3" i="4"/>
  <c r="S9" i="4"/>
  <c r="S5" i="4"/>
  <c r="S6" i="4"/>
  <c r="S7" i="4"/>
  <c r="S8" i="4"/>
  <c r="S4" i="4"/>
  <c r="S3" i="4"/>
  <c r="R9" i="4"/>
  <c r="R5" i="4"/>
  <c r="R6" i="4"/>
  <c r="R7" i="4"/>
  <c r="R8" i="4"/>
  <c r="R4" i="4"/>
  <c r="R3" i="4"/>
  <c r="M55" i="4" l="1"/>
  <c r="N55" i="4" s="1"/>
  <c r="M54" i="4"/>
  <c r="N54" i="4" s="1"/>
  <c r="M53" i="4"/>
  <c r="N53" i="4" s="1"/>
  <c r="M52" i="4"/>
  <c r="N52" i="4" s="1"/>
  <c r="M51" i="4"/>
  <c r="N51" i="4" s="1"/>
  <c r="M50" i="4"/>
  <c r="N50" i="4" s="1"/>
  <c r="M49" i="4"/>
  <c r="N49" i="4" s="1"/>
  <c r="J63" i="4"/>
  <c r="K63" i="4" s="1"/>
  <c r="J62" i="4"/>
  <c r="K62" i="4" s="1"/>
  <c r="J61" i="4"/>
  <c r="K61" i="4" s="1"/>
  <c r="J60" i="4"/>
  <c r="K60" i="4" s="1"/>
  <c r="J59" i="4"/>
  <c r="K59" i="4" s="1"/>
  <c r="C44" i="21" l="1"/>
  <c r="C36" i="21"/>
  <c r="C43" i="21" l="1"/>
  <c r="C42" i="21"/>
  <c r="C41" i="21"/>
  <c r="B43" i="21"/>
  <c r="B42" i="21"/>
  <c r="B41" i="21"/>
  <c r="C35" i="21"/>
  <c r="C34" i="21"/>
  <c r="C33" i="21"/>
  <c r="C32" i="21"/>
  <c r="C31" i="21"/>
  <c r="C30" i="21"/>
  <c r="B35" i="21"/>
  <c r="B34" i="21"/>
  <c r="B33" i="21"/>
  <c r="B32" i="21"/>
  <c r="B31" i="21"/>
  <c r="B30" i="21"/>
  <c r="C15" i="21"/>
  <c r="D15" i="21" s="1"/>
  <c r="C14" i="21"/>
  <c r="B15" i="21"/>
  <c r="B14" i="21"/>
  <c r="C6" i="21"/>
  <c r="C5" i="21"/>
  <c r="C4" i="21"/>
  <c r="C3" i="21"/>
  <c r="D3" i="21" s="1"/>
  <c r="C8" i="21"/>
  <c r="C7" i="21"/>
  <c r="J13" i="4" l="1"/>
  <c r="I61" i="4" l="1"/>
  <c r="H60" i="4"/>
  <c r="G59" i="4"/>
  <c r="L51" i="4"/>
  <c r="K51" i="4"/>
  <c r="J50" i="4"/>
  <c r="I50" i="4"/>
  <c r="H49" i="4"/>
  <c r="G49" i="4"/>
  <c r="J20" i="4"/>
  <c r="K20" i="4" s="1"/>
  <c r="J19" i="4"/>
  <c r="J18" i="4"/>
  <c r="K18" i="4" s="1"/>
  <c r="J17" i="4"/>
  <c r="J16" i="4"/>
  <c r="K16" i="4" s="1"/>
  <c r="J15" i="4"/>
  <c r="J14" i="4"/>
  <c r="K14" i="4" s="1"/>
  <c r="H18" i="4"/>
  <c r="H17" i="4"/>
  <c r="H16" i="4"/>
  <c r="H15" i="4"/>
  <c r="H14" i="4"/>
  <c r="H19" i="4"/>
  <c r="M15" i="4" l="1"/>
  <c r="K15" i="4"/>
  <c r="M17" i="4"/>
  <c r="K17" i="4"/>
  <c r="M19" i="4"/>
  <c r="K19" i="4"/>
  <c r="M14" i="4"/>
  <c r="M16" i="4"/>
  <c r="M18" i="4"/>
  <c r="M20" i="4"/>
  <c r="T9" i="4"/>
  <c r="P9" i="4"/>
  <c r="O9" i="4"/>
  <c r="N9" i="4"/>
  <c r="M9" i="4"/>
  <c r="L9" i="4"/>
  <c r="K9" i="4"/>
  <c r="J9" i="4"/>
  <c r="I9" i="4"/>
  <c r="H9" i="4"/>
  <c r="G9" i="4"/>
  <c r="L8" i="4"/>
  <c r="L7" i="4"/>
  <c r="L6" i="4"/>
  <c r="L5" i="4"/>
  <c r="L4" i="4"/>
  <c r="K8" i="4"/>
  <c r="K7" i="4"/>
  <c r="K6" i="4"/>
  <c r="K5" i="4"/>
  <c r="K4" i="4"/>
  <c r="J8" i="4"/>
  <c r="J7" i="4"/>
  <c r="J6" i="4"/>
  <c r="J5" i="4"/>
  <c r="J4" i="4"/>
  <c r="I8" i="4"/>
  <c r="I7" i="4"/>
  <c r="I6" i="4"/>
  <c r="I5" i="4"/>
  <c r="I4" i="4"/>
  <c r="H8" i="4"/>
  <c r="H7" i="4"/>
  <c r="H6" i="4"/>
  <c r="H5" i="4"/>
  <c r="H4" i="4"/>
  <c r="G8" i="4"/>
  <c r="G7" i="4"/>
  <c r="G6" i="4"/>
  <c r="G5" i="4"/>
  <c r="G4" i="4"/>
  <c r="F11" i="19" l="1"/>
  <c r="J11" i="19"/>
  <c r="Z9" i="4"/>
  <c r="C11" i="19"/>
  <c r="D11" i="19"/>
  <c r="AB9" i="4"/>
  <c r="G11" i="19" s="1"/>
  <c r="H11" i="19"/>
  <c r="AC9" i="4"/>
  <c r="I11" i="19" s="1"/>
  <c r="AA9" i="4"/>
  <c r="E11" i="19" s="1"/>
  <c r="E61" i="4" l="1"/>
  <c r="F61" i="4" s="1"/>
  <c r="C61" i="4" s="1"/>
  <c r="E60" i="4"/>
  <c r="F60" i="4" s="1"/>
  <c r="C60" i="4" s="1"/>
  <c r="E59" i="4"/>
  <c r="F59" i="4" s="1"/>
  <c r="C59" i="4" s="1"/>
  <c r="C62" i="4"/>
  <c r="C63" i="4"/>
  <c r="E49" i="4"/>
  <c r="F49" i="4" s="1"/>
  <c r="C49" i="4" s="1"/>
  <c r="D41" i="21"/>
  <c r="D42" i="21"/>
  <c r="D43" i="21"/>
  <c r="D44" i="21"/>
  <c r="O6" i="4"/>
  <c r="N8" i="4"/>
  <c r="P8" i="4"/>
  <c r="D14" i="21"/>
  <c r="L30" i="4"/>
  <c r="C55" i="4"/>
  <c r="C54" i="4"/>
  <c r="C53" i="4"/>
  <c r="C52" i="4"/>
  <c r="D34" i="21"/>
  <c r="D33" i="21"/>
  <c r="D32" i="21"/>
  <c r="D31" i="21"/>
  <c r="D30" i="21"/>
  <c r="M5" i="4"/>
  <c r="N5" i="4"/>
  <c r="O5" i="4"/>
  <c r="P5" i="4"/>
  <c r="M6" i="4"/>
  <c r="N6" i="4"/>
  <c r="P6" i="4"/>
  <c r="M7" i="4"/>
  <c r="N7" i="4"/>
  <c r="O7" i="4"/>
  <c r="P7" i="4"/>
  <c r="M8" i="4"/>
  <c r="O8" i="4"/>
  <c r="D8" i="21"/>
  <c r="D7" i="21"/>
  <c r="D5" i="21"/>
  <c r="D4" i="21"/>
  <c r="B8" i="21"/>
  <c r="B7" i="21"/>
  <c r="B6" i="21"/>
  <c r="B5" i="21"/>
  <c r="B4" i="21"/>
  <c r="B3" i="21"/>
  <c r="C31" i="4"/>
  <c r="C26" i="4"/>
  <c r="E19" i="4"/>
  <c r="F19" i="4" s="1"/>
  <c r="C19" i="4" s="1"/>
  <c r="E15" i="4"/>
  <c r="D6" i="21"/>
  <c r="C20" i="4"/>
  <c r="E4" i="4"/>
  <c r="F4" i="4" s="1"/>
  <c r="C4" i="4" s="1"/>
  <c r="D35" i="21"/>
  <c r="P4" i="4"/>
  <c r="O4" i="4"/>
  <c r="N4" i="4"/>
  <c r="M4" i="4"/>
  <c r="AC4" i="4"/>
  <c r="D36" i="21"/>
  <c r="Y6" i="4"/>
  <c r="X7" i="4"/>
  <c r="W6" i="4"/>
  <c r="V8" i="4"/>
  <c r="M13" i="4"/>
  <c r="E20" i="4"/>
  <c r="AC3" i="4"/>
  <c r="AB3" i="4"/>
  <c r="AA3" i="4"/>
  <c r="Z3" i="4"/>
  <c r="E9" i="4"/>
  <c r="F9" i="4" s="1"/>
  <c r="C9" i="4" s="1"/>
  <c r="E8" i="4"/>
  <c r="F8" i="4" s="1"/>
  <c r="C8" i="4" s="1"/>
  <c r="E7" i="4"/>
  <c r="F7" i="4" s="1"/>
  <c r="C7" i="4" s="1"/>
  <c r="E6" i="4"/>
  <c r="F6" i="4" s="1"/>
  <c r="C6" i="4" s="1"/>
  <c r="E5" i="4"/>
  <c r="F5" i="4" s="1"/>
  <c r="C5" i="4" s="1"/>
  <c r="M3" i="4"/>
  <c r="N3" i="4"/>
  <c r="O3" i="4"/>
  <c r="P3" i="4"/>
  <c r="G3" i="4"/>
  <c r="H3" i="4"/>
  <c r="I3" i="4"/>
  <c r="J3" i="4"/>
  <c r="K3" i="4"/>
  <c r="L3" i="4"/>
  <c r="Q5" i="4"/>
  <c r="Q6" i="4"/>
  <c r="Q7" i="4"/>
  <c r="Q8" i="4"/>
  <c r="Q9" i="4"/>
  <c r="Q4" i="4"/>
  <c r="W7" i="4"/>
  <c r="L33" i="4"/>
  <c r="X6" i="4"/>
  <c r="V5" i="4"/>
  <c r="X4" i="4"/>
  <c r="V6" i="4"/>
  <c r="W8" i="4"/>
  <c r="V9" i="4"/>
  <c r="X5" i="4"/>
  <c r="V7" i="4"/>
  <c r="W9" i="4"/>
  <c r="V4" i="4"/>
  <c r="C10" i="4"/>
  <c r="E6" i="19" l="1"/>
  <c r="F6" i="19"/>
  <c r="J6" i="19"/>
  <c r="I6" i="19"/>
  <c r="D10" i="19"/>
  <c r="H9" i="19"/>
  <c r="D9" i="19"/>
  <c r="AA6" i="4"/>
  <c r="E8" i="19"/>
  <c r="F8" i="19"/>
  <c r="AC5" i="4"/>
  <c r="I7" i="19" s="1"/>
  <c r="J7" i="19"/>
  <c r="AA5" i="4"/>
  <c r="E7" i="19" s="1"/>
  <c r="F7" i="19"/>
  <c r="AA8" i="4"/>
  <c r="E10" i="19" s="1"/>
  <c r="F10" i="19"/>
  <c r="D6" i="19"/>
  <c r="H6" i="19"/>
  <c r="H10" i="19"/>
  <c r="AC7" i="4"/>
  <c r="I9" i="19"/>
  <c r="J9" i="19"/>
  <c r="F9" i="19"/>
  <c r="J8" i="19"/>
  <c r="D8" i="19"/>
  <c r="H7" i="19"/>
  <c r="J10" i="19"/>
  <c r="H8" i="19"/>
  <c r="D16" i="21"/>
  <c r="F15" i="4"/>
  <c r="C15" i="4" s="1"/>
  <c r="AC6" i="4"/>
  <c r="I8" i="19" s="1"/>
  <c r="Z6" i="4"/>
  <c r="C8" i="19" s="1"/>
  <c r="AC8" i="4"/>
  <c r="I10" i="19" s="1"/>
  <c r="C9" i="21"/>
  <c r="D9" i="21" s="1"/>
  <c r="D10" i="21" s="1"/>
  <c r="AB8" i="4"/>
  <c r="G10" i="19" s="1"/>
  <c r="AA4" i="4"/>
  <c r="Z5" i="4"/>
  <c r="AB5" i="4"/>
  <c r="G7" i="19" s="1"/>
  <c r="AA7" i="4"/>
  <c r="E9" i="19" s="1"/>
  <c r="E50" i="4"/>
  <c r="F50" i="4" s="1"/>
  <c r="C50" i="4" s="1"/>
  <c r="E51" i="4"/>
  <c r="F51" i="4" s="1"/>
  <c r="C51" i="4" s="1"/>
  <c r="D37" i="21"/>
  <c r="D45" i="21"/>
  <c r="C27" i="4"/>
  <c r="C33" i="4"/>
  <c r="L29" i="4"/>
  <c r="C25" i="4"/>
  <c r="C29" i="4"/>
  <c r="C30" i="4"/>
  <c r="L26" i="4"/>
  <c r="L25" i="4"/>
  <c r="L34" i="4"/>
  <c r="L28" i="4"/>
  <c r="C28" i="4"/>
  <c r="C32" i="4"/>
  <c r="L32" i="4"/>
  <c r="L31" i="4"/>
  <c r="L24" i="4"/>
  <c r="L27" i="4"/>
  <c r="E17" i="4"/>
  <c r="F17" i="4" s="1"/>
  <c r="C17" i="4" s="1"/>
  <c r="L20" i="4"/>
  <c r="L14" i="4"/>
  <c r="L19" i="4"/>
  <c r="L15" i="4"/>
  <c r="L16" i="4"/>
  <c r="L17" i="4"/>
  <c r="L18" i="4"/>
  <c r="E16" i="4"/>
  <c r="F16" i="4" s="1"/>
  <c r="C16" i="4" s="1"/>
  <c r="E14" i="4"/>
  <c r="E18" i="4"/>
  <c r="F18" i="4" s="1"/>
  <c r="C18" i="4" s="1"/>
  <c r="Y4" i="4"/>
  <c r="Y7" i="4"/>
  <c r="W5" i="4"/>
  <c r="X9" i="4"/>
  <c r="Y5" i="4"/>
  <c r="Y8" i="4"/>
  <c r="W4" i="4"/>
  <c r="X8" i="4"/>
  <c r="Y9" i="4"/>
  <c r="Z4" i="4"/>
  <c r="C6" i="19" s="1"/>
  <c r="AB4" i="4"/>
  <c r="G6" i="19" s="1"/>
  <c r="AB6" i="4"/>
  <c r="G8" i="19" s="1"/>
  <c r="Z7" i="4"/>
  <c r="C9" i="19" s="1"/>
  <c r="AB7" i="4"/>
  <c r="G9" i="19" s="1"/>
  <c r="Z8" i="4"/>
  <c r="C10" i="19" s="1"/>
  <c r="F14" i="4" l="1"/>
  <c r="C14" i="4" s="1"/>
  <c r="C24" i="4"/>
</calcChain>
</file>

<file path=xl/sharedStrings.xml><?xml version="1.0" encoding="utf-8"?>
<sst xmlns="http://schemas.openxmlformats.org/spreadsheetml/2006/main" count="903" uniqueCount="226">
  <si>
    <t>Manitoba</t>
  </si>
  <si>
    <t>Notation</t>
  </si>
  <si>
    <t>Supression</t>
  </si>
  <si>
    <t xml:space="preserve">     </t>
  </si>
  <si>
    <t/>
  </si>
  <si>
    <t>Dakota Nation</t>
  </si>
  <si>
    <t>Treaty 1</t>
  </si>
  <si>
    <t>Treaty 10</t>
  </si>
  <si>
    <t>Treaty 2</t>
  </si>
  <si>
    <t>Treaty 4</t>
  </si>
  <si>
    <t>Treaty 5</t>
  </si>
  <si>
    <t>Treaty Area</t>
  </si>
  <si>
    <t>Independent-North</t>
  </si>
  <si>
    <t>Independent-South</t>
  </si>
  <si>
    <t>Rate</t>
  </si>
  <si>
    <t>area</t>
  </si>
  <si>
    <t>FN_ON_pop</t>
  </si>
  <si>
    <t>FN_ON_prob</t>
  </si>
  <si>
    <t>FN_ON_crd_rate</t>
  </si>
  <si>
    <t>FN_ON_relrisk</t>
  </si>
  <si>
    <t>FN_ON_Lcl_rr</t>
  </si>
  <si>
    <t>FN_ON_Ucl_rr</t>
  </si>
  <si>
    <t>FN_OFF_pop</t>
  </si>
  <si>
    <t>FN_OFF_prob</t>
  </si>
  <si>
    <t>FN_OFF_crd_rate</t>
  </si>
  <si>
    <t>FN_OFF_relrisk</t>
  </si>
  <si>
    <t>FN_OFF_Lcl_rr</t>
  </si>
  <si>
    <t>FN_OFF_Ucl_rr</t>
  </si>
  <si>
    <t>FN_pop</t>
  </si>
  <si>
    <t>FN_prob</t>
  </si>
  <si>
    <t>FN_crd_rate</t>
  </si>
  <si>
    <t>FN_relrisk</t>
  </si>
  <si>
    <t>FN_Lcl_rr</t>
  </si>
  <si>
    <t>FN_Ucl_rr</t>
  </si>
  <si>
    <t>ONvsOFF_prob</t>
  </si>
  <si>
    <t>ONvsOFF_relrisk</t>
  </si>
  <si>
    <t>ONvsOFF_lcl_rr</t>
  </si>
  <si>
    <t>ONvsOFF_ucl_rr</t>
  </si>
  <si>
    <t>FN_ON_sign</t>
  </si>
  <si>
    <t>FN_OFF_sign</t>
  </si>
  <si>
    <t>FN_sign</t>
  </si>
  <si>
    <t>ONvsOFF_sign</t>
  </si>
  <si>
    <t>FN_ON_suppress</t>
  </si>
  <si>
    <t>FN_OFF_suppress</t>
  </si>
  <si>
    <t>FN_suppress</t>
  </si>
  <si>
    <t xml:space="preserve"> </t>
  </si>
  <si>
    <t>Z Manitoba</t>
  </si>
  <si>
    <t>On-Reserve vs Off-Reserve</t>
  </si>
  <si>
    <t>tribal_council</t>
  </si>
  <si>
    <t xml:space="preserve">Prairie Mountain Health </t>
  </si>
  <si>
    <t>First Nations On-Reserve</t>
  </si>
  <si>
    <t>First Nations</t>
  </si>
  <si>
    <t>First Nations Off-Reserve</t>
  </si>
  <si>
    <t>Crude</t>
  </si>
  <si>
    <t>Count</t>
  </si>
  <si>
    <t>Health Region</t>
  </si>
  <si>
    <t>Non-affiliated</t>
  </si>
  <si>
    <t>All Other Manitobans</t>
  </si>
  <si>
    <t>Urban Off-Reserve</t>
  </si>
  <si>
    <t>Rural On-Reserve</t>
  </si>
  <si>
    <t>Rural Off-Reserve</t>
  </si>
  <si>
    <t>cohort</t>
  </si>
  <si>
    <t>rural</t>
  </si>
  <si>
    <t>count</t>
  </si>
  <si>
    <t>pop</t>
  </si>
  <si>
    <t>crd_rate</t>
  </si>
  <si>
    <t>suppress</t>
  </si>
  <si>
    <t>Urban</t>
  </si>
  <si>
    <t>First Nations Off Reserve</t>
  </si>
  <si>
    <t>Rural</t>
  </si>
  <si>
    <t>First Nations On Reserve</t>
  </si>
  <si>
    <t>SO Southern Health-Sante Sud</t>
  </si>
  <si>
    <t>WP Winnipeg RHA</t>
  </si>
  <si>
    <t>WE Prairie Mountain Health</t>
  </si>
  <si>
    <t>IE Interlake-Eastern RHA</t>
  </si>
  <si>
    <t>NO Northern Health Region</t>
  </si>
  <si>
    <t>All First Nations</t>
  </si>
  <si>
    <t>Southern Health-Santé Sud</t>
  </si>
  <si>
    <t>Winnipeg RHA</t>
  </si>
  <si>
    <t>Interlake-Eastern RHA</t>
  </si>
  <si>
    <t>Northern Health Region</t>
  </si>
  <si>
    <t>o</t>
  </si>
  <si>
    <t>r</t>
  </si>
  <si>
    <t>orig_rha</t>
  </si>
  <si>
    <t>footnote</t>
  </si>
  <si>
    <t>footnote for graph:</t>
  </si>
  <si>
    <t>footnote for graph</t>
  </si>
  <si>
    <t>orig_treaty</t>
  </si>
  <si>
    <t>orig_tribal</t>
  </si>
  <si>
    <t>Keewatin (KTC)</t>
  </si>
  <si>
    <t>Island Lake (ILTC)</t>
  </si>
  <si>
    <t>Swampy Cree (SCTC)</t>
  </si>
  <si>
    <t>Interlake Reserves (IRTC)</t>
  </si>
  <si>
    <t>Dakota Ojibway TC (DOTC)</t>
  </si>
  <si>
    <t>West Region (WRTC)</t>
  </si>
  <si>
    <t>Other Manitobans</t>
  </si>
  <si>
    <t>RHA</t>
  </si>
  <si>
    <t>avgs</t>
  </si>
  <si>
    <t>counts</t>
  </si>
  <si>
    <t>Avg</t>
  </si>
  <si>
    <t>crude rates</t>
  </si>
  <si>
    <t>n/a</t>
  </si>
  <si>
    <t>n/a   Not applicable</t>
  </si>
  <si>
    <t>Labels</t>
  </si>
  <si>
    <t>Stat sign</t>
  </si>
  <si>
    <t>Dummy variable</t>
  </si>
  <si>
    <t>'s'     Data suppressed due to small numbers</t>
  </si>
  <si>
    <t>Tribal Council Areas</t>
  </si>
  <si>
    <t>Health Regions</t>
  </si>
  <si>
    <t>Counts</t>
  </si>
  <si>
    <t>Crude rates</t>
  </si>
  <si>
    <t>Rural On-Reserve vs MB Other Lowest Rural</t>
  </si>
  <si>
    <t>Urban Off-Reserve vs MB Other Lowest Urban</t>
  </si>
  <si>
    <t>Urban Off-Reserve vs MB Other Highest Urban</t>
  </si>
  <si>
    <t>Rural On-Reserve vs MB Other Highest Rural</t>
  </si>
  <si>
    <t>Rural Off-Reserve vs MB Other Lowest Rural</t>
  </si>
  <si>
    <t>Rural Off-Reserve vs MB Other Highest Rural</t>
  </si>
  <si>
    <t>First Nations    On-Reserve</t>
  </si>
  <si>
    <t>BM_sign</t>
  </si>
  <si>
    <t>Benchmark</t>
  </si>
  <si>
    <t>First Nations On-Reserve vs benchmark</t>
  </si>
  <si>
    <t>BM_relrisk</t>
  </si>
  <si>
    <t>BM_lcl_rr</t>
  </si>
  <si>
    <t>BM_ucl_rr</t>
  </si>
  <si>
    <t>First Nations On-Reserve Avg</t>
  </si>
  <si>
    <t>Lowest Urban</t>
  </si>
  <si>
    <t>Highest Urban</t>
  </si>
  <si>
    <t>Lowest Rural</t>
  </si>
  <si>
    <t>Highest Rural</t>
  </si>
  <si>
    <t>ON RESERVE</t>
  </si>
  <si>
    <t>Southeast (SERDC)</t>
  </si>
  <si>
    <t>BY TRIBAL COUNCIL AREA - ON RESERVE</t>
  </si>
  <si>
    <t>Tribal Council Area</t>
  </si>
  <si>
    <t>First Nations Average</t>
  </si>
  <si>
    <t>First Nations Off-Reserve Avg</t>
  </si>
  <si>
    <t>On-Reserve vs On-reserve Avg</t>
  </si>
  <si>
    <t>Off-Reserve vs Off-reserve Avg</t>
  </si>
  <si>
    <t>All First Nations vs All First Nation Avg</t>
  </si>
  <si>
    <t>All Other Manitobans vs All Other Manitobans Avg</t>
  </si>
  <si>
    <t>All First Nations vs All Other Mnaitobans</t>
  </si>
  <si>
    <t>All First Nations Avg</t>
  </si>
  <si>
    <t>All Other Manitobans Avg</t>
  </si>
  <si>
    <t>BY TREATY AREA GRAPH</t>
  </si>
  <si>
    <t>BY RHA GRAPH</t>
  </si>
  <si>
    <t>BY INCOME GRAPH</t>
  </si>
  <si>
    <t>BY INCOME GRAPH - lowest income only</t>
  </si>
  <si>
    <t>a</t>
  </si>
  <si>
    <t>AOMB_pop</t>
  </si>
  <si>
    <t>AOMB_crd_rate</t>
  </si>
  <si>
    <t>AOMB_relrisk</t>
  </si>
  <si>
    <t>AOMB_Lcl_rr</t>
  </si>
  <si>
    <t>AOMB_Ucl_rr</t>
  </si>
  <si>
    <t>AOMB_prob</t>
  </si>
  <si>
    <t>FNvsAOMB_relrisk</t>
  </si>
  <si>
    <t>FNvsAOMB_lcl_rr</t>
  </si>
  <si>
    <t>FNvsAOMB_ucl_rr</t>
  </si>
  <si>
    <t>FNvsAOMB_prob</t>
  </si>
  <si>
    <t>AOMB_sign</t>
  </si>
  <si>
    <t>FNvsAOMB_sign</t>
  </si>
  <si>
    <t>AOMB_suppress</t>
  </si>
  <si>
    <t>PT Public Trustee</t>
  </si>
  <si>
    <t>BM_prob</t>
  </si>
  <si>
    <t>tribal_pop</t>
  </si>
  <si>
    <t>tribal_crd_rate</t>
  </si>
  <si>
    <t>bm_tribal</t>
  </si>
  <si>
    <t>Keewatin</t>
  </si>
  <si>
    <t>Interlake Reserves</t>
  </si>
  <si>
    <t>Island Lake</t>
  </si>
  <si>
    <t>Dakota Ojibway</t>
  </si>
  <si>
    <t>Swampy Cree Nation</t>
  </si>
  <si>
    <t>West Region</t>
  </si>
  <si>
    <t>Southeast Resource</t>
  </si>
  <si>
    <t>s</t>
  </si>
  <si>
    <t>chquint</t>
  </si>
  <si>
    <t>Z</t>
  </si>
  <si>
    <t>Q1</t>
  </si>
  <si>
    <t>Q2</t>
  </si>
  <si>
    <t>Q3</t>
  </si>
  <si>
    <t>Q4</t>
  </si>
  <si>
    <t>Q5</t>
  </si>
  <si>
    <t>Crude Rates</t>
  </si>
  <si>
    <t>Treaty hidden - Do not delete</t>
  </si>
  <si>
    <t>On-Reserve vs benchmark</t>
  </si>
  <si>
    <t>tribal_lcl_crd</t>
  </si>
  <si>
    <t>tribal_ucl_crd</t>
  </si>
  <si>
    <t>tribal_relrisk</t>
  </si>
  <si>
    <t>tribal_lcl_rr</t>
  </si>
  <si>
    <t>tribal_ucl_rr</t>
  </si>
  <si>
    <t>tribal_prob</t>
  </si>
  <si>
    <t>tribal_ONvsOFF_relrisk</t>
  </si>
  <si>
    <t>tribal_ONvsOFF_lcl_rr</t>
  </si>
  <si>
    <t>tribal_ONvsOFF_ucl_rr</t>
  </si>
  <si>
    <t>tribal_ONvsOFF_prob</t>
  </si>
  <si>
    <t>tribal_sign</t>
  </si>
  <si>
    <t>tribal_ONvsOFF_sign</t>
  </si>
  <si>
    <t>tribal_suppress</t>
  </si>
  <si>
    <t>BM_suppress</t>
  </si>
  <si>
    <t>tribal_ONvsOFF_suppress</t>
  </si>
  <si>
    <t>All FN On Reserve</t>
  </si>
  <si>
    <t>All FN Off Reserve</t>
  </si>
  <si>
    <t>‡</t>
  </si>
  <si>
    <t>First Nations On/Off Reserve Avg</t>
  </si>
  <si>
    <t>First Nations On/off Reserve</t>
  </si>
  <si>
    <t xml:space="preserve">Tribal On vs Off </t>
  </si>
  <si>
    <t xml:space="preserve">  </t>
  </si>
  <si>
    <t>ON &amp; OFF RESERVE</t>
  </si>
  <si>
    <t>BM_sign_ON</t>
  </si>
  <si>
    <t>BM_sign_OFF</t>
  </si>
  <si>
    <t>orig_income_LH</t>
  </si>
  <si>
    <t>orig_income_L</t>
  </si>
  <si>
    <t>Benchmark Tribal Council</t>
  </si>
  <si>
    <t>d</t>
  </si>
  <si>
    <t>Crude infant_mortality Rates (ages &lt; 1), per 1,000 liveborn (hospital) births by FN in Health Region vs (MB FN, AOMB in Health Region), 2012-2016</t>
  </si>
  <si>
    <t xml:space="preserve">date:   December 5, 2018 </t>
  </si>
  <si>
    <t>FN_ON_infant_mortality</t>
  </si>
  <si>
    <t>FN_OFF_infant_mortality</t>
  </si>
  <si>
    <t>FN_infant_mortality</t>
  </si>
  <si>
    <t>AOMB_infant_mortality</t>
  </si>
  <si>
    <t>I</t>
  </si>
  <si>
    <t>Crude infant_mortality Rates (ages &lt; 1), per 1,000 liveborn (hospital) births by Tribal Council for FN On/Off Reserve vs MB FN On/Off Reserve, 2012-2016</t>
  </si>
  <si>
    <t>tribal_infant_mortality</t>
  </si>
  <si>
    <t>Crude infant_mortality Rates (ages &lt; 1), per 1,000 liveborn (hospital) births by FN Urban Off reserve and Rural On/Off reserve vs (Lowest and Highest Urban/Rural Income Quintile for MB AOMB), 2012-2016</t>
  </si>
  <si>
    <t>infant_mortality</t>
  </si>
  <si>
    <t xml:space="preserve">Infant Mortality Counts and Crude Rates </t>
  </si>
  <si>
    <t>Crude rate per 1,000 liveborn, age &lt;1, 2012-2016</t>
  </si>
  <si>
    <t>Note: Manual suppression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</si>
</sst>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2" formatCode="_-&quot;$&quot;* #,##0_-;\-&quot;$&quot;* #,##0_-;_-&quot;$&quot;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0.0"/>
    <numFmt numFmtId="165" formatCode="_-&quot;$&quot;* #,##0.0_-;\-&quot;$&quot;* #,##0.0_-;_-&quot;$&quot;* &quot;-&quot;?_-;_-@_-"/>
    <numFmt numFmtId="166" formatCode="0.0%"/>
    <numFmt numFmtId="167" formatCode="0.000000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name val="Segoe UI"/>
      <family val="2"/>
    </font>
    <font>
      <sz val="9"/>
      <color theme="1"/>
      <name val="Segoe UI"/>
      <family val="2"/>
    </font>
    <font>
      <b/>
      <sz val="9"/>
      <color theme="0"/>
      <name val="Segoe UI"/>
      <family val="2"/>
    </font>
    <font>
      <b/>
      <sz val="9"/>
      <color theme="1"/>
      <name val="Segoe UI"/>
      <family val="2"/>
    </font>
    <font>
      <sz val="18"/>
      <color theme="3"/>
      <name val="Cambria"/>
      <family val="2"/>
      <scheme val="major"/>
    </font>
    <font>
      <b/>
      <sz val="20"/>
      <name val="Arial"/>
      <family val="2"/>
    </font>
    <font>
      <sz val="10"/>
      <name val="Arial"/>
      <family val="2"/>
    </font>
    <font>
      <b/>
      <sz val="9"/>
      <name val="Segoe UI"/>
      <family val="2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theme="1" tint="0.14999847407452621"/>
      <name val="Segoe UI"/>
      <family val="2"/>
    </font>
    <font>
      <i/>
      <sz val="11"/>
      <color rgb="FF7F7F7F"/>
      <name val="Calibri"/>
      <family val="2"/>
      <scheme val="minor"/>
    </font>
    <font>
      <sz val="7"/>
      <color theme="1"/>
      <name val="Segoe UI"/>
      <family val="2"/>
    </font>
    <font>
      <sz val="11"/>
      <color rgb="FF006100"/>
      <name val="Calibri"/>
      <family val="2"/>
      <scheme val="minor"/>
    </font>
    <font>
      <b/>
      <sz val="15"/>
      <color theme="1"/>
      <name val="Wingdings 3"/>
      <family val="1"/>
      <charset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5"/>
      <color theme="1" tint="0.14999847407452621"/>
      <name val="Wingdings 3"/>
      <family val="1"/>
      <charset val="2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8"/>
      <color theme="1"/>
      <name val="Segoe UI"/>
      <family val="2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</font>
  </fonts>
  <fills count="4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9CC5CA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lightUp">
        <fgColor auto="1"/>
      </patternFill>
    </fill>
    <fill>
      <patternFill patternType="solid">
        <fgColor indexed="65"/>
        <bgColor theme="0"/>
      </patternFill>
    </fill>
    <fill>
      <patternFill patternType="solid">
        <fgColor theme="3"/>
        <bgColor theme="3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theme="0"/>
      </patternFill>
    </fill>
    <fill>
      <patternFill patternType="darkUp"/>
    </fill>
    <fill>
      <patternFill patternType="solid">
        <fgColor theme="0"/>
        <bgColor theme="0"/>
      </patternFill>
    </fill>
    <fill>
      <patternFill patternType="lightUp">
        <fgColor theme="1"/>
        <bgColor auto="1"/>
      </patternFill>
    </fill>
    <fill>
      <patternFill patternType="lightUp">
        <fgColor theme="1"/>
      </patternFill>
    </fill>
  </fills>
  <borders count="4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7"/>
      </left>
      <right style="thin">
        <color theme="7"/>
      </right>
      <top/>
      <bottom/>
      <diagonal/>
    </border>
    <border>
      <left/>
      <right style="thin">
        <color rgb="FF00857D"/>
      </right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857D"/>
      </left>
      <right style="thin">
        <color rgb="FF00857D"/>
      </right>
      <top/>
      <bottom/>
      <diagonal/>
    </border>
    <border>
      <left/>
      <right/>
      <top/>
      <bottom style="thin">
        <color theme="7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/>
      <right style="thin">
        <color theme="7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7"/>
      </right>
      <top/>
      <bottom style="thin">
        <color theme="7"/>
      </bottom>
      <diagonal/>
    </border>
    <border>
      <left/>
      <right/>
      <top style="thin">
        <color theme="7"/>
      </top>
      <bottom style="thin">
        <color theme="7"/>
      </bottom>
      <diagonal/>
    </border>
    <border>
      <left style="thin">
        <color theme="0"/>
      </left>
      <right style="thin">
        <color theme="7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0"/>
      </right>
      <top style="thin">
        <color theme="0"/>
      </top>
      <bottom style="thin">
        <color theme="7"/>
      </bottom>
      <diagonal/>
    </border>
    <border>
      <left style="thin">
        <color theme="0"/>
      </left>
      <right style="thin">
        <color theme="7"/>
      </right>
      <top style="thin">
        <color theme="0"/>
      </top>
      <bottom style="thin">
        <color theme="7"/>
      </bottom>
      <diagonal/>
    </border>
    <border>
      <left style="thin">
        <color theme="7"/>
      </left>
      <right style="hair">
        <color theme="7"/>
      </right>
      <top/>
      <bottom/>
      <diagonal/>
    </border>
    <border>
      <left style="thin">
        <color theme="7"/>
      </left>
      <right style="hair">
        <color theme="7"/>
      </right>
      <top/>
      <bottom style="thin">
        <color theme="7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  <border>
      <left style="thin">
        <color theme="7"/>
      </left>
      <right/>
      <top/>
      <bottom/>
      <diagonal/>
    </border>
    <border>
      <left/>
      <right/>
      <top style="thin">
        <color theme="7"/>
      </top>
      <bottom/>
      <diagonal/>
    </border>
    <border>
      <left style="thin">
        <color theme="7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 style="thin">
        <color theme="7"/>
      </right>
      <top style="thin">
        <color theme="7"/>
      </top>
      <bottom style="thin">
        <color theme="0"/>
      </bottom>
      <diagonal/>
    </border>
    <border>
      <left style="thin">
        <color theme="7"/>
      </left>
      <right style="thin">
        <color theme="0"/>
      </right>
      <top style="thin">
        <color theme="0"/>
      </top>
      <bottom style="thin">
        <color theme="7"/>
      </bottom>
      <diagonal/>
    </border>
    <border>
      <left/>
      <right style="thin">
        <color theme="0"/>
      </right>
      <top style="thin">
        <color theme="7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7"/>
      </bottom>
      <diagonal/>
    </border>
    <border>
      <left style="thin">
        <color theme="7"/>
      </left>
      <right/>
      <top style="thin">
        <color theme="0"/>
      </top>
      <bottom/>
      <diagonal/>
    </border>
    <border>
      <left style="thin">
        <color theme="7"/>
      </left>
      <right/>
      <top style="thin">
        <color theme="7"/>
      </top>
      <bottom style="thin">
        <color theme="7"/>
      </bottom>
      <diagonal/>
    </border>
    <border>
      <left style="thin">
        <color theme="7"/>
      </left>
      <right style="hair">
        <color theme="7"/>
      </right>
      <top style="thin">
        <color theme="7"/>
      </top>
      <bottom style="thin">
        <color theme="7"/>
      </bottom>
      <diagonal/>
    </border>
    <border>
      <left/>
      <right style="thin">
        <color theme="7"/>
      </right>
      <top style="thin">
        <color theme="7"/>
      </top>
      <bottom style="thin">
        <color theme="7"/>
      </bottom>
      <diagonal/>
    </border>
    <border>
      <left style="hair">
        <color theme="7"/>
      </left>
      <right style="thin">
        <color theme="7"/>
      </right>
      <top style="thin">
        <color theme="7"/>
      </top>
      <bottom style="thin">
        <color theme="7"/>
      </bottom>
      <diagonal/>
    </border>
  </borders>
  <cellStyleXfs count="64">
    <xf numFmtId="0" fontId="0" fillId="0" borderId="0"/>
    <xf numFmtId="0" fontId="6" fillId="0" borderId="0" applyNumberFormat="0" applyFill="0" applyBorder="0" applyAlignment="0" applyProtection="0"/>
    <xf numFmtId="0" fontId="19" fillId="0" borderId="1" applyNumberFormat="0" applyFill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1" fillId="0" borderId="0" applyNumberFormat="0" applyFill="0" applyBorder="0" applyAlignment="0" applyProtection="0"/>
    <xf numFmtId="0" fontId="17" fillId="2" borderId="0" applyNumberFormat="0" applyBorder="0" applyAlignment="0" applyProtection="0"/>
    <xf numFmtId="0" fontId="11" fillId="3" borderId="0" applyNumberFormat="0" applyBorder="0" applyAlignment="0" applyProtection="0"/>
    <xf numFmtId="0" fontId="24" fillId="4" borderId="0" applyNumberFormat="0" applyBorder="0" applyAlignment="0" applyProtection="0"/>
    <xf numFmtId="0" fontId="22" fillId="32" borderId="11" applyFill="0">
      <alignment horizontal="center" vertical="center"/>
    </xf>
    <xf numFmtId="0" fontId="25" fillId="5" borderId="5" applyNumberFormat="0" applyAlignment="0" applyProtection="0"/>
    <xf numFmtId="0" fontId="12" fillId="5" borderId="4" applyNumberFormat="0" applyAlignment="0" applyProtection="0"/>
    <xf numFmtId="0" fontId="23" fillId="0" borderId="6" applyNumberFormat="0" applyFill="0" applyAlignment="0" applyProtection="0"/>
    <xf numFmtId="0" fontId="13" fillId="6" borderId="7" applyNumberFormat="0" applyAlignment="0" applyProtection="0"/>
    <xf numFmtId="0" fontId="28" fillId="0" borderId="0" applyNumberFormat="0" applyFill="0" applyBorder="0" applyAlignment="0" applyProtection="0"/>
    <xf numFmtId="0" fontId="3" fillId="7" borderId="8" applyNumberFormat="0" applyFont="0" applyAlignment="0" applyProtection="0"/>
    <xf numFmtId="0" fontId="15" fillId="0" borderId="0" applyNumberFormat="0" applyFill="0" applyBorder="0" applyAlignment="0" applyProtection="0"/>
    <xf numFmtId="0" fontId="27" fillId="0" borderId="9" applyNumberFormat="0" applyFill="0" applyAlignment="0" applyProtection="0"/>
    <xf numFmtId="0" fontId="10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10" fillId="31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ont="0" applyFill="0" applyBorder="0" applyAlignment="0">
      <alignment horizontal="center"/>
    </xf>
    <xf numFmtId="0" fontId="8" fillId="0" borderId="0"/>
    <xf numFmtId="49" fontId="3" fillId="32" borderId="10" applyFill="0">
      <alignment horizontal="center" vertical="center"/>
    </xf>
    <xf numFmtId="3" fontId="3" fillId="32" borderId="10" applyFill="0">
      <alignment horizontal="right" vertical="center" indent="1"/>
    </xf>
    <xf numFmtId="164" fontId="3" fillId="32" borderId="10" applyFill="0">
      <alignment horizontal="right" vertical="center" indent="1"/>
    </xf>
    <xf numFmtId="2" fontId="3" fillId="32" borderId="10" applyFill="0">
      <alignment horizontal="right" vertical="center" indent="1"/>
    </xf>
    <xf numFmtId="42" fontId="14" fillId="32" borderId="10" applyFill="0">
      <alignment horizontal="right" vertical="center" indent="1"/>
    </xf>
    <xf numFmtId="165" fontId="3" fillId="32" borderId="10" applyFill="0">
      <alignment horizontal="right" vertical="center" indent="1"/>
    </xf>
    <xf numFmtId="44" fontId="3" fillId="32" borderId="10" applyFill="0">
      <alignment horizontal="right" vertical="center" indent="1"/>
    </xf>
    <xf numFmtId="9" fontId="3" fillId="32" borderId="10" applyFill="0">
      <alignment horizontal="right" vertical="center" indent="1"/>
    </xf>
    <xf numFmtId="166" fontId="3" fillId="32" borderId="10" applyFill="0">
      <alignment horizontal="right" vertical="center" indent="1"/>
    </xf>
    <xf numFmtId="10" fontId="3" fillId="32" borderId="10" applyFill="0">
      <alignment horizontal="right" vertical="center" indent="1"/>
    </xf>
    <xf numFmtId="0" fontId="16" fillId="32" borderId="0">
      <alignment horizontal="left" vertical="top"/>
    </xf>
    <xf numFmtId="0" fontId="18" fillId="32" borderId="10" applyFill="0">
      <alignment horizontal="center" vertical="center"/>
    </xf>
    <xf numFmtId="0" fontId="5" fillId="32" borderId="0">
      <alignment horizontal="center" vertical="center" wrapText="1"/>
    </xf>
    <xf numFmtId="0" fontId="4" fillId="33" borderId="12">
      <alignment horizontal="center" vertical="center" wrapText="1"/>
    </xf>
    <xf numFmtId="0" fontId="5" fillId="32" borderId="13" applyFill="0">
      <alignment horizontal="left" vertical="center" indent="1"/>
    </xf>
    <xf numFmtId="49" fontId="5" fillId="34" borderId="0">
      <alignment horizontal="left" vertical="center" indent="1"/>
    </xf>
    <xf numFmtId="49" fontId="26" fillId="32" borderId="0"/>
    <xf numFmtId="49" fontId="5" fillId="32" borderId="0">
      <alignment vertical="center"/>
    </xf>
    <xf numFmtId="43" fontId="1" fillId="0" borderId="0" applyFont="0" applyFill="0" applyBorder="0" applyAlignment="0" applyProtection="0"/>
  </cellStyleXfs>
  <cellXfs count="100">
    <xf numFmtId="0" fontId="0" fillId="0" borderId="0" xfId="0"/>
    <xf numFmtId="11" fontId="0" fillId="0" borderId="0" xfId="0" applyNumberFormat="1"/>
    <xf numFmtId="0" fontId="0" fillId="0" borderId="0" xfId="0"/>
    <xf numFmtId="0" fontId="9" fillId="0" borderId="0" xfId="43" applyFont="1" applyBorder="1" applyAlignment="1">
      <alignment vertical="top"/>
    </xf>
    <xf numFmtId="0" fontId="9" fillId="0" borderId="0" xfId="43" applyFont="1" applyBorder="1" applyAlignment="1">
      <alignment vertical="top" wrapText="1"/>
    </xf>
    <xf numFmtId="0" fontId="2" fillId="0" borderId="0" xfId="44" applyFont="1"/>
    <xf numFmtId="0" fontId="2" fillId="0" borderId="0" xfId="43" applyFont="1" applyBorder="1" applyAlignment="1">
      <alignment vertical="top"/>
    </xf>
    <xf numFmtId="0" fontId="2" fillId="0" borderId="0" xfId="44" applyFont="1" applyAlignment="1">
      <alignment vertical="center"/>
    </xf>
    <xf numFmtId="0" fontId="2" fillId="0" borderId="0" xfId="44" applyFont="1" applyAlignment="1">
      <alignment horizontal="center" vertical="center"/>
    </xf>
    <xf numFmtId="1" fontId="2" fillId="0" borderId="0" xfId="44" applyNumberFormat="1" applyFont="1"/>
    <xf numFmtId="0" fontId="2" fillId="0" borderId="0" xfId="44" applyFont="1" applyBorder="1" applyAlignment="1">
      <alignment vertical="center"/>
    </xf>
    <xf numFmtId="0" fontId="2" fillId="0" borderId="0" xfId="44" applyFont="1" applyBorder="1"/>
    <xf numFmtId="0" fontId="4" fillId="33" borderId="15" xfId="58" applyBorder="1">
      <alignment horizontal="center" vertical="center" wrapText="1"/>
    </xf>
    <xf numFmtId="0" fontId="2" fillId="0" borderId="14" xfId="43" applyFont="1" applyBorder="1" applyAlignment="1">
      <alignment vertical="top"/>
    </xf>
    <xf numFmtId="0" fontId="9" fillId="0" borderId="14" xfId="43" applyFont="1" applyBorder="1" applyAlignment="1">
      <alignment vertical="top" wrapText="1"/>
    </xf>
    <xf numFmtId="0" fontId="0" fillId="0" borderId="19" xfId="0" applyBorder="1"/>
    <xf numFmtId="0" fontId="0" fillId="0" borderId="0" xfId="0" applyFill="1"/>
    <xf numFmtId="0" fontId="4" fillId="33" borderId="20" xfId="58" applyBorder="1">
      <alignment horizontal="center" vertical="center" wrapText="1"/>
    </xf>
    <xf numFmtId="0" fontId="2" fillId="0" borderId="16" xfId="44" applyFont="1" applyBorder="1"/>
    <xf numFmtId="0" fontId="2" fillId="0" borderId="16" xfId="44" applyFont="1" applyBorder="1" applyAlignment="1">
      <alignment horizontal="center" vertical="center"/>
    </xf>
    <xf numFmtId="0" fontId="2" fillId="0" borderId="0" xfId="44" quotePrefix="1" applyFont="1"/>
    <xf numFmtId="0" fontId="0" fillId="0" borderId="26" xfId="0" applyBorder="1"/>
    <xf numFmtId="0" fontId="0" fillId="0" borderId="29" xfId="0" applyBorder="1"/>
    <xf numFmtId="0" fontId="0" fillId="0" borderId="0" xfId="0" applyBorder="1"/>
    <xf numFmtId="0" fontId="0" fillId="0" borderId="30" xfId="0" applyBorder="1"/>
    <xf numFmtId="0" fontId="0" fillId="0" borderId="33" xfId="0" applyBorder="1" applyAlignment="1">
      <alignment wrapText="1"/>
    </xf>
    <xf numFmtId="0" fontId="0" fillId="35" borderId="0" xfId="0" applyFill="1"/>
    <xf numFmtId="0" fontId="0" fillId="0" borderId="33" xfId="0" applyBorder="1" applyAlignment="1">
      <alignment vertical="top" wrapText="1"/>
    </xf>
    <xf numFmtId="0" fontId="0" fillId="0" borderId="0" xfId="0" applyAlignment="1">
      <alignment horizontal="left"/>
    </xf>
    <xf numFmtId="0" fontId="5" fillId="0" borderId="0" xfId="0" applyFont="1" applyAlignment="1"/>
    <xf numFmtId="0" fontId="2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Fill="1" applyAlignment="1">
      <alignment horizontal="left"/>
    </xf>
    <xf numFmtId="0" fontId="0" fillId="0" borderId="32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horizontal="left" wrapText="1"/>
    </xf>
    <xf numFmtId="0" fontId="2" fillId="0" borderId="35" xfId="44" applyFont="1" applyBorder="1" applyAlignment="1">
      <alignment vertical="center"/>
    </xf>
    <xf numFmtId="0" fontId="0" fillId="36" borderId="32" xfId="0" applyFill="1" applyBorder="1" applyAlignment="1">
      <alignment horizontal="left"/>
    </xf>
    <xf numFmtId="0" fontId="4" fillId="33" borderId="15" xfId="58" applyBorder="1">
      <alignment horizontal="center" vertical="center" wrapText="1"/>
    </xf>
    <xf numFmtId="0" fontId="0" fillId="0" borderId="32" xfId="0" applyFill="1" applyBorder="1" applyAlignment="1">
      <alignment horizontal="left"/>
    </xf>
    <xf numFmtId="0" fontId="27" fillId="0" borderId="27" xfId="0" applyFont="1" applyBorder="1"/>
    <xf numFmtId="0" fontId="27" fillId="0" borderId="28" xfId="0" applyFont="1" applyBorder="1"/>
    <xf numFmtId="0" fontId="0" fillId="0" borderId="29" xfId="0" applyFill="1" applyBorder="1"/>
    <xf numFmtId="2" fontId="3" fillId="0" borderId="0" xfId="60" quotePrefix="1" applyNumberFormat="1" applyFont="1" applyFill="1" applyBorder="1" applyAlignment="1">
      <alignment horizontal="right" vertical="center" indent="3"/>
    </xf>
    <xf numFmtId="3" fontId="3" fillId="0" borderId="0" xfId="63" applyNumberFormat="1" applyFont="1" applyFill="1" applyBorder="1" applyAlignment="1">
      <alignment horizontal="right" vertical="center" indent="3"/>
    </xf>
    <xf numFmtId="2" fontId="3" fillId="0" borderId="0" xfId="60" applyNumberFormat="1" applyFont="1" applyFill="1" applyBorder="1" applyAlignment="1">
      <alignment horizontal="right" vertical="center" indent="3"/>
    </xf>
    <xf numFmtId="49" fontId="5" fillId="34" borderId="34" xfId="60" applyNumberFormat="1" applyFont="1" applyFill="1" applyBorder="1" applyAlignment="1">
      <alignment horizontal="left" vertical="center" indent="1"/>
    </xf>
    <xf numFmtId="49" fontId="5" fillId="0" borderId="36" xfId="60" applyFont="1" applyFill="1" applyBorder="1" applyAlignment="1">
      <alignment horizontal="left" vertical="center" indent="2"/>
    </xf>
    <xf numFmtId="0" fontId="5" fillId="39" borderId="0" xfId="0" applyFont="1" applyFill="1" applyAlignment="1">
      <alignment horizontal="left"/>
    </xf>
    <xf numFmtId="0" fontId="27" fillId="39" borderId="0" xfId="0" applyFont="1" applyFill="1" applyAlignment="1">
      <alignment horizontal="left"/>
    </xf>
    <xf numFmtId="0" fontId="0" fillId="39" borderId="0" xfId="0" applyFill="1" applyAlignment="1">
      <alignment horizontal="left"/>
    </xf>
    <xf numFmtId="0" fontId="4" fillId="33" borderId="38" xfId="58" applyBorder="1">
      <alignment horizontal="center" vertical="center" wrapText="1"/>
    </xf>
    <xf numFmtId="0" fontId="4" fillId="33" borderId="39" xfId="58" applyBorder="1">
      <alignment horizontal="center" vertical="center" wrapText="1"/>
    </xf>
    <xf numFmtId="0" fontId="0" fillId="0" borderId="0" xfId="0" applyAlignment="1">
      <alignment horizontal="center"/>
    </xf>
    <xf numFmtId="0" fontId="0" fillId="39" borderId="0" xfId="0" applyFill="1"/>
    <xf numFmtId="0" fontId="29" fillId="39" borderId="0" xfId="0" applyFont="1" applyFill="1"/>
    <xf numFmtId="0" fontId="4" fillId="33" borderId="41" xfId="58" applyBorder="1">
      <alignment horizontal="center" vertical="center" wrapText="1"/>
    </xf>
    <xf numFmtId="4" fontId="2" fillId="40" borderId="16" xfId="44" applyNumberFormat="1" applyFont="1" applyFill="1" applyBorder="1" applyAlignment="1">
      <alignment horizontal="right" vertical="center" indent="3"/>
    </xf>
    <xf numFmtId="0" fontId="30" fillId="0" borderId="0" xfId="0" applyFont="1" applyAlignment="1">
      <alignment horizontal="left"/>
    </xf>
    <xf numFmtId="0" fontId="27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left" wrapText="1"/>
    </xf>
    <xf numFmtId="0" fontId="28" fillId="0" borderId="0" xfId="0" applyFont="1" applyFill="1" applyAlignment="1">
      <alignment horizontal="left" wrapText="1"/>
    </xf>
    <xf numFmtId="0" fontId="27" fillId="0" borderId="0" xfId="0" applyFont="1" applyBorder="1"/>
    <xf numFmtId="0" fontId="27" fillId="0" borderId="30" xfId="0" applyFont="1" applyBorder="1"/>
    <xf numFmtId="4" fontId="2" fillId="42" borderId="16" xfId="44" applyNumberFormat="1" applyFont="1" applyFill="1" applyBorder="1" applyAlignment="1">
      <alignment horizontal="right" vertical="center" indent="3"/>
    </xf>
    <xf numFmtId="0" fontId="9" fillId="40" borderId="10" xfId="44" applyNumberFormat="1" applyFont="1" applyFill="1" applyBorder="1" applyAlignment="1">
      <alignment horizontal="left" vertical="center" indent="2"/>
    </xf>
    <xf numFmtId="0" fontId="9" fillId="42" borderId="10" xfId="44" applyNumberFormat="1" applyFont="1" applyFill="1" applyBorder="1" applyAlignment="1">
      <alignment horizontal="left" vertical="center" indent="2"/>
    </xf>
    <xf numFmtId="0" fontId="9" fillId="37" borderId="43" xfId="44" applyNumberFormat="1" applyFont="1" applyFill="1" applyBorder="1" applyAlignment="1">
      <alignment horizontal="left" vertical="center" indent="2"/>
    </xf>
    <xf numFmtId="0" fontId="9" fillId="38" borderId="35" xfId="44" applyNumberFormat="1" applyFont="1" applyFill="1" applyBorder="1" applyAlignment="1">
      <alignment horizontal="left" vertical="center" indent="2"/>
    </xf>
    <xf numFmtId="0" fontId="9" fillId="37" borderId="35" xfId="44" applyNumberFormat="1" applyFont="1" applyFill="1" applyBorder="1" applyAlignment="1">
      <alignment horizontal="left" vertical="center" indent="2"/>
    </xf>
    <xf numFmtId="49" fontId="5" fillId="34" borderId="44" xfId="60" applyNumberFormat="1" applyFont="1" applyFill="1" applyBorder="1" applyAlignment="1">
      <alignment horizontal="left" vertical="center" indent="1"/>
    </xf>
    <xf numFmtId="0" fontId="0" fillId="43" borderId="32" xfId="0" applyFill="1" applyBorder="1" applyAlignment="1">
      <alignment horizontal="left"/>
    </xf>
    <xf numFmtId="0" fontId="0" fillId="44" borderId="0" xfId="0" applyFill="1" applyAlignment="1">
      <alignment horizontal="left"/>
    </xf>
    <xf numFmtId="11" fontId="0" fillId="0" borderId="0" xfId="0" applyNumberFormat="1" applyAlignment="1">
      <alignment horizontal="center"/>
    </xf>
    <xf numFmtId="0" fontId="0" fillId="0" borderId="0" xfId="0" applyFill="1" applyAlignment="1">
      <alignment horizontal="center"/>
    </xf>
    <xf numFmtId="167" fontId="0" fillId="0" borderId="0" xfId="0" applyNumberFormat="1" applyAlignment="1">
      <alignment horizontal="center"/>
    </xf>
    <xf numFmtId="0" fontId="0" fillId="39" borderId="0" xfId="0" applyFill="1" applyAlignment="1">
      <alignment horizontal="center"/>
    </xf>
    <xf numFmtId="3" fontId="2" fillId="42" borderId="24" xfId="44" applyNumberFormat="1" applyFont="1" applyFill="1" applyBorder="1" applyAlignment="1">
      <alignment horizontal="right" vertical="center" indent="4"/>
    </xf>
    <xf numFmtId="3" fontId="2" fillId="40" borderId="24" xfId="44" applyNumberFormat="1" applyFont="1" applyFill="1" applyBorder="1" applyAlignment="1">
      <alignment horizontal="right" vertical="center" indent="4"/>
    </xf>
    <xf numFmtId="3" fontId="2" fillId="40" borderId="25" xfId="44" applyNumberFormat="1" applyFont="1" applyFill="1" applyBorder="1" applyAlignment="1">
      <alignment horizontal="right" vertical="center" indent="4"/>
    </xf>
    <xf numFmtId="4" fontId="2" fillId="40" borderId="18" xfId="44" applyNumberFormat="1" applyFont="1" applyFill="1" applyBorder="1" applyAlignment="1">
      <alignment horizontal="right" vertical="center" indent="3"/>
    </xf>
    <xf numFmtId="3" fontId="3" fillId="0" borderId="0" xfId="63" quotePrefix="1" applyNumberFormat="1" applyFont="1" applyFill="1" applyBorder="1" applyAlignment="1">
      <alignment horizontal="right" vertical="center" indent="3"/>
    </xf>
    <xf numFmtId="1" fontId="5" fillId="34" borderId="44" xfId="60" applyNumberFormat="1" applyBorder="1" applyAlignment="1">
      <alignment horizontal="right" vertical="center" indent="4"/>
    </xf>
    <xf numFmtId="2" fontId="5" fillId="34" borderId="46" xfId="60" applyNumberFormat="1" applyBorder="1" applyAlignment="1">
      <alignment horizontal="right" vertical="center" indent="3"/>
    </xf>
    <xf numFmtId="1" fontId="5" fillId="34" borderId="45" xfId="60" applyNumberFormat="1" applyBorder="1" applyAlignment="1">
      <alignment horizontal="right" vertical="center" indent="4"/>
    </xf>
    <xf numFmtId="2" fontId="5" fillId="34" borderId="47" xfId="60" applyNumberFormat="1" applyBorder="1" applyAlignment="1">
      <alignment horizontal="right" vertical="center" indent="3"/>
    </xf>
    <xf numFmtId="0" fontId="0" fillId="41" borderId="27" xfId="0" applyFill="1" applyBorder="1" applyAlignment="1"/>
    <xf numFmtId="0" fontId="0" fillId="41" borderId="0" xfId="0" applyFill="1" applyAlignment="1"/>
    <xf numFmtId="0" fontId="0" fillId="41" borderId="32" xfId="0" applyFill="1" applyBorder="1" applyAlignment="1"/>
    <xf numFmtId="0" fontId="4" fillId="33" borderId="21" xfId="58" applyBorder="1">
      <alignment horizontal="center" vertical="center" wrapText="1"/>
    </xf>
    <xf numFmtId="0" fontId="4" fillId="33" borderId="23" xfId="58" applyBorder="1">
      <alignment horizontal="center" vertical="center" wrapText="1"/>
    </xf>
    <xf numFmtId="0" fontId="4" fillId="33" borderId="17" xfId="58" applyBorder="1">
      <alignment horizontal="center" vertical="center" wrapText="1"/>
    </xf>
    <xf numFmtId="0" fontId="4" fillId="33" borderId="22" xfId="58" applyBorder="1">
      <alignment horizontal="center" vertical="center" wrapText="1"/>
    </xf>
    <xf numFmtId="0" fontId="4" fillId="33" borderId="37" xfId="58" applyBorder="1">
      <alignment horizontal="center" vertical="center" wrapText="1"/>
    </xf>
    <xf numFmtId="0" fontId="4" fillId="33" borderId="40" xfId="58" applyBorder="1">
      <alignment horizontal="center" vertical="center" wrapText="1"/>
    </xf>
    <xf numFmtId="0" fontId="4" fillId="33" borderId="42" xfId="58" applyBorder="1">
      <alignment horizontal="center" vertical="center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</cellXfs>
  <cellStyles count="6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63" builtinId="3"/>
    <cellStyle name="crude rate tables" xfId="43"/>
    <cellStyle name="Data - text" xfId="45"/>
    <cellStyle name="Data#-0 Decimals" xfId="46"/>
    <cellStyle name="Data#-1 Decimal" xfId="47"/>
    <cellStyle name="Data#-2 Decimals" xfId="48"/>
    <cellStyle name="Data$-0 Decimal" xfId="49"/>
    <cellStyle name="Data$-1 Decimal" xfId="50"/>
    <cellStyle name="Data$-2 Decimals" xfId="51"/>
    <cellStyle name="Data%-0 Decimal" xfId="52"/>
    <cellStyle name="Data%-1 Decimal" xfId="53"/>
    <cellStyle name="Data%-2 Decimals" xfId="54"/>
    <cellStyle name="Explanatory Text" xfId="16" builtinId="53" customBuiltin="1"/>
    <cellStyle name="Footnote" xfId="55"/>
    <cellStyle name="Good" xfId="6" builtinId="26" customBuiltin="1"/>
    <cellStyle name="h i" xfId="56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e Break" xfId="57"/>
    <cellStyle name="Linked Cell" xfId="12" builtinId="24" customBuiltin="1"/>
    <cellStyle name="Main heading X" xfId="58"/>
    <cellStyle name="Main heading Y" xfId="59"/>
    <cellStyle name="Neutral" xfId="8" builtinId="28" customBuiltin="1"/>
    <cellStyle name="Normal" xfId="0" builtinId="0" customBuiltin="1"/>
    <cellStyle name="Normal 3" xfId="44"/>
    <cellStyle name="Note" xfId="15" builtinId="10" customBuiltin="1"/>
    <cellStyle name="Output" xfId="10" builtinId="21" customBuiltin="1"/>
    <cellStyle name="Sub heading Y" xfId="60"/>
    <cellStyle name="Subtitle" xfId="61"/>
    <cellStyle name="Table title" xfId="62"/>
    <cellStyle name="Title" xfId="1" builtinId="15" customBuiltin="1"/>
    <cellStyle name="Title 2" xfId="42"/>
    <cellStyle name="Total" xfId="17" builtinId="25" customBuiltin="1"/>
    <cellStyle name="Warning Text" xfId="14" builtinId="11" customBuiltin="1"/>
  </cellStyles>
  <dxfs count="2">
    <dxf>
      <fill>
        <patternFill>
          <fgColor theme="3"/>
          <bgColor theme="3"/>
        </patternFill>
      </fill>
    </dxf>
    <dxf>
      <fill>
        <patternFill>
          <fgColor theme="0"/>
        </patternFill>
      </fill>
    </dxf>
  </dxfs>
  <tableStyles count="3" defaultTableStyle="TableStyleMedium2" defaultPivotStyle="PivotStyleLight16">
    <tableStyle name="Table Style 1" pivot="0" count="2">
      <tableStyleElement type="firstRowStripe" dxfId="1"/>
      <tableStyleElement type="secondRowStripe" dxfId="0"/>
    </tableStyle>
    <tableStyle name="Table Style 2" pivot="0" count="0"/>
    <tableStyle name="Table Style 3" pivot="0" count="0"/>
  </tableStyles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6.xml"/><Relationship Id="rId13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worksheet" Target="worksheets/sheet5.xml"/><Relationship Id="rId12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4.xml"/><Relationship Id="rId11" Type="http://schemas.openxmlformats.org/officeDocument/2006/relationships/styles" Target="styles.xml"/><Relationship Id="rId5" Type="http://schemas.openxmlformats.org/officeDocument/2006/relationships/worksheet" Target="worksheets/sheet3.xml"/><Relationship Id="rId10" Type="http://schemas.openxmlformats.org/officeDocument/2006/relationships/theme" Target="theme/theme1.xml"/><Relationship Id="rId4" Type="http://schemas.openxmlformats.org/officeDocument/2006/relationships/worksheet" Target="worksheets/sheet2.xml"/><Relationship Id="rId9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70213481536316"/>
          <c:y val="0.1539624164575088"/>
          <c:w val="0.70552467993451384"/>
          <c:h val="0.61855463212570616"/>
        </c:manualLayout>
      </c:layout>
      <c:barChart>
        <c:barDir val="bar"/>
        <c:grouping val="clustered"/>
        <c:varyColors val="0"/>
        <c:ser>
          <c:idx val="5"/>
          <c:order val="0"/>
          <c:tx>
            <c:strRef>
              <c:f>Data_Sheet!$V$2</c:f>
              <c:strCache>
                <c:ptCount val="1"/>
                <c:pt idx="0">
                  <c:v>First Nations On-Reserve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First Nations On-Reserve Avg</c:name>
            <c:spPr>
              <a:ln w="25400">
                <a:solidFill>
                  <a:schemeClr val="accent2"/>
                </a:solidFill>
                <a:prstDash val="dash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Data_Sheet!$B$4:$C$9</c:f>
              <c:multiLvlStrCache>
                <c:ptCount val="6"/>
                <c:lvl>
                  <c:pt idx="0">
                    <c:v>Southern Health-Santé Sud 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 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Data_Sheet!$V$4:$V$9</c:f>
              <c:numCache>
                <c:formatCode>General</c:formatCode>
                <c:ptCount val="6"/>
                <c:pt idx="0">
                  <c:v>8.7843833184999998</c:v>
                </c:pt>
                <c:pt idx="1">
                  <c:v>8.7843833184999998</c:v>
                </c:pt>
                <c:pt idx="2">
                  <c:v>8.7843833184999998</c:v>
                </c:pt>
                <c:pt idx="3">
                  <c:v>8.7843833184999998</c:v>
                </c:pt>
                <c:pt idx="4">
                  <c:v>8.7843833184999998</c:v>
                </c:pt>
                <c:pt idx="5">
                  <c:v>8.7843833184999998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471-4865-886A-43BAE3183E02}"/>
            </c:ext>
          </c:extLst>
        </c:ser>
        <c:ser>
          <c:idx val="6"/>
          <c:order val="1"/>
          <c:tx>
            <c:strRef>
              <c:f>Data_Sheet!$W$2</c:f>
              <c:strCache>
                <c:ptCount val="1"/>
                <c:pt idx="0">
                  <c:v>First Nations Off-Reserve Avg</c:v>
                </c:pt>
              </c:strCache>
            </c:strRef>
          </c:tx>
          <c:spPr>
            <a:noFill/>
          </c:spPr>
          <c:invertIfNegative val="0"/>
          <c:trendline>
            <c:name>First Nations Off-Reserve Avg</c:name>
            <c:spPr>
              <a:ln w="25400">
                <a:solidFill>
                  <a:schemeClr val="accent3"/>
                </a:solidFill>
                <a:prstDash val="dash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Data_Sheet!$B$4:$C$9</c:f>
              <c:multiLvlStrCache>
                <c:ptCount val="6"/>
                <c:lvl>
                  <c:pt idx="0">
                    <c:v>Southern Health-Santé Sud 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 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Data_Sheet!$W$4:$W$9</c:f>
              <c:numCache>
                <c:formatCode>General</c:formatCode>
                <c:ptCount val="6"/>
                <c:pt idx="0">
                  <c:v>5.8969584108999999</c:v>
                </c:pt>
                <c:pt idx="1">
                  <c:v>5.8969584108999999</c:v>
                </c:pt>
                <c:pt idx="2">
                  <c:v>5.8969584108999999</c:v>
                </c:pt>
                <c:pt idx="3">
                  <c:v>5.8969584108999999</c:v>
                </c:pt>
                <c:pt idx="4">
                  <c:v>5.8969584108999999</c:v>
                </c:pt>
                <c:pt idx="5">
                  <c:v>5.8969584108999999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471-4865-886A-43BAE3183E02}"/>
            </c:ext>
          </c:extLst>
        </c:ser>
        <c:ser>
          <c:idx val="2"/>
          <c:order val="2"/>
          <c:tx>
            <c:strRef>
              <c:f>Data_Sheet!$R$2</c:f>
              <c:strCache>
                <c:ptCount val="1"/>
                <c:pt idx="0">
                  <c:v>First Nations On-Reserve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val>
            <c:numRef>
              <c:f>Data_Sheet!$R$4:$R$9</c:f>
              <c:numCache>
                <c:formatCode>General</c:formatCode>
                <c:ptCount val="6"/>
                <c:pt idx="0">
                  <c:v>10.517090272000001</c:v>
                </c:pt>
                <c:pt idx="1">
                  <c:v>0</c:v>
                </c:pt>
                <c:pt idx="2">
                  <c:v>10.781671159</c:v>
                </c:pt>
                <c:pt idx="3">
                  <c:v>10.439970172000001</c:v>
                </c:pt>
                <c:pt idx="4">
                  <c:v>7.4202715503999999</c:v>
                </c:pt>
                <c:pt idx="5">
                  <c:v>8.7843833184999998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36-4BD4-BE4C-A91FB54469BA}"/>
            </c:ext>
          </c:extLst>
        </c:ser>
        <c:ser>
          <c:idx val="7"/>
          <c:order val="3"/>
          <c:tx>
            <c:strRef>
              <c:f>Data_Sheet!$S$2</c:f>
              <c:strCache>
                <c:ptCount val="1"/>
                <c:pt idx="0">
                  <c:v>First Nations Off-Reserve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</c:spPr>
          <c:invertIfNegative val="0"/>
          <c:val>
            <c:numRef>
              <c:f>Data_Sheet!$S$4:$S$9</c:f>
              <c:numCache>
                <c:formatCode>General</c:formatCode>
                <c:ptCount val="6"/>
                <c:pt idx="0">
                  <c:v>0</c:v>
                </c:pt>
                <c:pt idx="1">
                  <c:v>4.2194092827</c:v>
                </c:pt>
                <c:pt idx="2">
                  <c:v>0</c:v>
                </c:pt>
                <c:pt idx="3">
                  <c:v>6.7678379000000002E-9</c:v>
                </c:pt>
                <c:pt idx="4">
                  <c:v>15.858208955</c:v>
                </c:pt>
                <c:pt idx="5">
                  <c:v>5.8969584108999999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36-4BD4-BE4C-A91FB54469BA}"/>
            </c:ext>
          </c:extLst>
        </c:ser>
        <c:ser>
          <c:idx val="0"/>
          <c:order val="4"/>
          <c:tx>
            <c:strRef>
              <c:f>Data_Sheet!$T$2</c:f>
              <c:strCache>
                <c:ptCount val="1"/>
                <c:pt idx="0">
                  <c:v>All First Nations</c:v>
                </c:pt>
              </c:strCache>
            </c:strRef>
          </c:tx>
          <c:spPr>
            <a:pattFill prst="dkUpDiag">
              <a:fgClr>
                <a:schemeClr val="accent1"/>
              </a:fgClr>
              <a:bgClr>
                <a:schemeClr val="bg1"/>
              </a:bgClr>
            </a:pattFill>
            <a:ln>
              <a:solidFill>
                <a:schemeClr val="accent1"/>
              </a:solidFill>
            </a:ln>
          </c:spPr>
          <c:invertIfNegative val="0"/>
          <c:cat>
            <c:multiLvlStrRef>
              <c:f>Data_Sheet!$B$4:$C$9</c:f>
              <c:multiLvlStrCache>
                <c:ptCount val="6"/>
                <c:lvl>
                  <c:pt idx="0">
                    <c:v>Southern Health-Santé Sud 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 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Data_Sheet!$T$4:$T$9</c:f>
              <c:numCache>
                <c:formatCode>General</c:formatCode>
                <c:ptCount val="6"/>
                <c:pt idx="0">
                  <c:v>8.4033613445000004</c:v>
                </c:pt>
                <c:pt idx="1">
                  <c:v>4.2194092827</c:v>
                </c:pt>
                <c:pt idx="2">
                  <c:v>8.4343700580000007</c:v>
                </c:pt>
                <c:pt idx="3">
                  <c:v>9.1653027822999995</c:v>
                </c:pt>
                <c:pt idx="4">
                  <c:v>8.6416419120000008</c:v>
                </c:pt>
                <c:pt idx="5">
                  <c:v>7.7339957096000003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471-4865-886A-43BAE3183E02}"/>
            </c:ext>
          </c:extLst>
        </c:ser>
        <c:ser>
          <c:idx val="1"/>
          <c:order val="5"/>
          <c:tx>
            <c:strRef>
              <c:f>Data_Sheet!$U$2</c:f>
              <c:strCache>
                <c:ptCount val="1"/>
                <c:pt idx="0">
                  <c:v>All Other Manitobans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</c:spPr>
          <c:invertIfNegative val="0"/>
          <c:cat>
            <c:multiLvlStrRef>
              <c:f>Data_Sheet!$B$4:$C$9</c:f>
              <c:multiLvlStrCache>
                <c:ptCount val="6"/>
                <c:lvl>
                  <c:pt idx="0">
                    <c:v>Southern Health-Santé Sud 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 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Data_Sheet!$U$4:$U$9</c:f>
              <c:numCache>
                <c:formatCode>General</c:formatCode>
                <c:ptCount val="6"/>
                <c:pt idx="0">
                  <c:v>3.3737156877999999</c:v>
                </c:pt>
                <c:pt idx="1">
                  <c:v>4.0702407256999997</c:v>
                </c:pt>
                <c:pt idx="2">
                  <c:v>4.4949136503</c:v>
                </c:pt>
                <c:pt idx="3">
                  <c:v>2.5231286796000001</c:v>
                </c:pt>
                <c:pt idx="4">
                  <c:v>6.1983471074000001</c:v>
                </c:pt>
                <c:pt idx="5">
                  <c:v>3.9254170756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471-4865-886A-43BAE3183E02}"/>
            </c:ext>
          </c:extLst>
        </c:ser>
        <c:ser>
          <c:idx val="3"/>
          <c:order val="6"/>
          <c:tx>
            <c:strRef>
              <c:f>Data_Sheet!$X$2</c:f>
              <c:strCache>
                <c:ptCount val="1"/>
                <c:pt idx="0">
                  <c:v>All First Nations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All First Nations Avg</c:name>
            <c:spPr>
              <a:ln w="25400">
                <a:solidFill>
                  <a:schemeClr val="accent1"/>
                </a:solidFill>
                <a:prstDash val="sysDot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Data_Sheet!$B$4:$C$9</c:f>
              <c:multiLvlStrCache>
                <c:ptCount val="6"/>
                <c:lvl>
                  <c:pt idx="0">
                    <c:v>Southern Health-Santé Sud 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 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Data_Sheet!$X$4:$X$9</c:f>
              <c:numCache>
                <c:formatCode>General</c:formatCode>
                <c:ptCount val="6"/>
                <c:pt idx="0">
                  <c:v>7.7339957096000003</c:v>
                </c:pt>
                <c:pt idx="1">
                  <c:v>7.7339957096000003</c:v>
                </c:pt>
                <c:pt idx="2">
                  <c:v>7.7339957096000003</c:v>
                </c:pt>
                <c:pt idx="3">
                  <c:v>7.7339957096000003</c:v>
                </c:pt>
                <c:pt idx="4">
                  <c:v>7.7339957096000003</c:v>
                </c:pt>
                <c:pt idx="5">
                  <c:v>7.7339957096000003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471-4865-886A-43BAE3183E02}"/>
            </c:ext>
          </c:extLst>
        </c:ser>
        <c:ser>
          <c:idx val="4"/>
          <c:order val="7"/>
          <c:tx>
            <c:strRef>
              <c:f>Data_Sheet!$Y$2</c:f>
              <c:strCache>
                <c:ptCount val="1"/>
                <c:pt idx="0">
                  <c:v>All Other Manitobans Avg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All Other Manitobans Avg</c:name>
            <c:spPr>
              <a:ln w="25400">
                <a:solidFill>
                  <a:schemeClr val="accent5"/>
                </a:solidFill>
                <a:prstDash val="sysDot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Data_Sheet!$B$4:$C$9</c:f>
              <c:multiLvlStrCache>
                <c:ptCount val="6"/>
                <c:lvl>
                  <c:pt idx="0">
                    <c:v>Southern Health-Santé Sud </c:v>
                  </c:pt>
                  <c:pt idx="1">
                    <c:v>Winnipeg RHA </c:v>
                  </c:pt>
                  <c:pt idx="2">
                    <c:v>Prairie Mountain Health  </c:v>
                  </c:pt>
                  <c:pt idx="3">
                    <c:v>Interlake-Eastern RHA </c:v>
                  </c:pt>
                  <c:pt idx="4">
                    <c:v>Northern Health Region </c:v>
                  </c:pt>
                  <c:pt idx="5">
                    <c:v>Manitoba </c:v>
                  </c:pt>
                </c:lvl>
                <c:lvl>
                  <c:pt idx="0">
                    <c:v>Health Region</c:v>
                  </c:pt>
                  <c:pt idx="5">
                    <c:v>     </c:v>
                  </c:pt>
                </c:lvl>
              </c:multiLvlStrCache>
            </c:multiLvlStrRef>
          </c:cat>
          <c:val>
            <c:numRef>
              <c:f>Data_Sheet!$Y$4:$Y$9</c:f>
              <c:numCache>
                <c:formatCode>General</c:formatCode>
                <c:ptCount val="6"/>
                <c:pt idx="0">
                  <c:v>3.9254170756</c:v>
                </c:pt>
                <c:pt idx="1">
                  <c:v>3.9254170756</c:v>
                </c:pt>
                <c:pt idx="2">
                  <c:v>3.9254170756</c:v>
                </c:pt>
                <c:pt idx="3">
                  <c:v>3.9254170756</c:v>
                </c:pt>
                <c:pt idx="4">
                  <c:v>3.9254170756</c:v>
                </c:pt>
                <c:pt idx="5">
                  <c:v>3.9254170756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471-4865-886A-43BAE3183E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 b="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2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88258048"/>
        <c:crosses val="max"/>
        <c:crossBetween val="between"/>
        <c:majorUnit val="2"/>
      </c:valAx>
      <c:spPr>
        <a:ln>
          <a:solidFill>
            <a:schemeClr val="tx1"/>
          </a:solidFill>
        </a:ln>
      </c:spPr>
    </c:plotArea>
    <c:legend>
      <c:legendPos val="b"/>
      <c:legendEntry>
        <c:idx val="0"/>
        <c:delete val="1"/>
      </c:legendEntry>
      <c:legendEntry>
        <c:idx val="1"/>
        <c:delete val="1"/>
      </c:legendEntry>
      <c:legendEntry>
        <c:idx val="6"/>
        <c:delete val="1"/>
      </c:legendEntry>
      <c:legendEntry>
        <c:idx val="7"/>
        <c:delete val="1"/>
      </c:legendEntry>
      <c:layout>
        <c:manualLayout>
          <c:xMode val="edge"/>
          <c:yMode val="edge"/>
          <c:x val="1.8544150226495936E-4"/>
          <c:y val="8.4543394217694925E-2"/>
          <c:w val="0.99400221449665138"/>
          <c:h val="6.0700117110449488E-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71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>
      <a:noFill/>
    </a:ln>
  </c:spPr>
  <c:txPr>
    <a:bodyPr/>
    <a:lstStyle/>
    <a:p>
      <a:pPr>
        <a:defRPr sz="800">
          <a:solidFill>
            <a:schemeClr val="tx1"/>
          </a:solidFill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482969427820119"/>
          <c:y val="0.10883564554430696"/>
          <c:w val="0.73002818702496308"/>
          <c:h val="0.61574814388925825"/>
        </c:manualLayout>
      </c:layout>
      <c:barChart>
        <c:barDir val="bar"/>
        <c:grouping val="clustered"/>
        <c:varyColors val="0"/>
        <c:ser>
          <c:idx val="3"/>
          <c:order val="0"/>
          <c:tx>
            <c:strRef>
              <c:f>Data_Sheet!$O$47</c:f>
              <c:strCache>
                <c:ptCount val="1"/>
                <c:pt idx="0">
                  <c:v>Dummy variable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MB: First Nations On-Reserve</c:name>
            <c:spPr>
              <a:ln w="25400">
                <a:solidFill>
                  <a:schemeClr val="accent2"/>
                </a:solidFill>
                <a:prstDash val="dash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Data_Sheet!$B$49:$C$55</c:f>
              <c:multiLvlStrCache>
                <c:ptCount val="7"/>
                <c:lvl>
                  <c:pt idx="0">
                    <c:v>Urban Off-Reserve </c:v>
                  </c:pt>
                  <c:pt idx="1">
                    <c:v>Rural On-Reserve (4)</c:v>
                  </c:pt>
                  <c:pt idx="2">
                    <c:v>Rural Off-Reserve (6)</c:v>
                  </c:pt>
                  <c:pt idx="3">
                    <c:v>Lowest Urban </c:v>
                  </c:pt>
                  <c:pt idx="4">
                    <c:v>Highest Urban </c:v>
                  </c:pt>
                  <c:pt idx="5">
                    <c:v>Lowest Rural </c:v>
                  </c:pt>
                  <c:pt idx="6">
                    <c:v>Highest Rural </c:v>
                  </c:pt>
                </c:lvl>
                <c:lvl>
                  <c:pt idx="0">
                    <c:v>First Nations</c:v>
                  </c:pt>
                  <c:pt idx="3">
                    <c:v>All Other Manitobans</c:v>
                  </c:pt>
                </c:lvl>
              </c:multiLvlStrCache>
            </c:multiLvlStrRef>
          </c:cat>
          <c:val>
            <c:numRef>
              <c:f>Data_Sheet!$O$49:$O$55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0-4946-454C-86E9-B2B868D14E63}"/>
            </c:ext>
          </c:extLst>
        </c:ser>
        <c:ser>
          <c:idx val="0"/>
          <c:order val="1"/>
          <c:tx>
            <c:strRef>
              <c:f>Data_Sheet!$N$47</c:f>
              <c:strCache>
                <c:ptCount val="1"/>
                <c:pt idx="0">
                  <c:v>Rate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</c:spPr>
          <c:invertIfNegative val="0"/>
          <c:dPt>
            <c:idx val="0"/>
            <c:invertIfNegative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4946-454C-86E9-B2B868D14E63}"/>
              </c:ext>
            </c:extLst>
          </c:dPt>
          <c:dPt>
            <c:idx val="1"/>
            <c:invertIfNegative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8-4946-454C-86E9-B2B868D14E63}"/>
              </c:ext>
            </c:extLst>
          </c:dPt>
          <c:dPt>
            <c:idx val="2"/>
            <c:invertIfNegative val="0"/>
            <c:bubble3D val="0"/>
            <c:spPr>
              <a:pattFill prst="dkUpDiag">
                <a:fgClr>
                  <a:schemeClr val="accent1"/>
                </a:fgClr>
                <a:bgClr>
                  <a:schemeClr val="bg1"/>
                </a:bgClr>
              </a:pattFill>
              <a:ln>
                <a:solidFill>
                  <a:schemeClr val="accent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4946-454C-86E9-B2B868D14E63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4946-454C-86E9-B2B868D14E63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4-4946-454C-86E9-B2B868D14E63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4946-454C-86E9-B2B868D14E63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  <c:extLst>
              <c:ext xmlns:c16="http://schemas.microsoft.com/office/drawing/2014/chart" uri="{C3380CC4-5D6E-409C-BE32-E72D297353CC}">
                <c16:uniqueId val="{00000006-4946-454C-86E9-B2B868D14E63}"/>
              </c:ext>
            </c:extLst>
          </c:dPt>
          <c:cat>
            <c:multiLvlStrRef>
              <c:f>Data_Sheet!$B$49:$C$55</c:f>
              <c:multiLvlStrCache>
                <c:ptCount val="7"/>
                <c:lvl>
                  <c:pt idx="0">
                    <c:v>Urban Off-Reserve </c:v>
                  </c:pt>
                  <c:pt idx="1">
                    <c:v>Rural On-Reserve (4)</c:v>
                  </c:pt>
                  <c:pt idx="2">
                    <c:v>Rural Off-Reserve (6)</c:v>
                  </c:pt>
                  <c:pt idx="3">
                    <c:v>Lowest Urban </c:v>
                  </c:pt>
                  <c:pt idx="4">
                    <c:v>Highest Urban </c:v>
                  </c:pt>
                  <c:pt idx="5">
                    <c:v>Lowest Rural </c:v>
                  </c:pt>
                  <c:pt idx="6">
                    <c:v>Highest Rural </c:v>
                  </c:pt>
                </c:lvl>
                <c:lvl>
                  <c:pt idx="0">
                    <c:v>First Nations</c:v>
                  </c:pt>
                  <c:pt idx="3">
                    <c:v>All Other Manitobans</c:v>
                  </c:pt>
                </c:lvl>
              </c:multiLvlStrCache>
            </c:multiLvlStrRef>
          </c:cat>
          <c:val>
            <c:numRef>
              <c:f>Data_Sheet!$N$49:$N$55</c:f>
              <c:numCache>
                <c:formatCode>General</c:formatCode>
                <c:ptCount val="7"/>
                <c:pt idx="0">
                  <c:v>4.1122399613000002</c:v>
                </c:pt>
                <c:pt idx="1">
                  <c:v>8.7211889294000002</c:v>
                </c:pt>
                <c:pt idx="2">
                  <c:v>9.2024539877000002</c:v>
                </c:pt>
                <c:pt idx="3">
                  <c:v>5.7259193281999998</c:v>
                </c:pt>
                <c:pt idx="4">
                  <c:v>3.0726686126999998</c:v>
                </c:pt>
                <c:pt idx="5">
                  <c:v>6.8365444374999997</c:v>
                </c:pt>
                <c:pt idx="6">
                  <c:v>3.4747622531000002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946-454C-86E9-B2B868D14E63}"/>
            </c:ext>
          </c:extLst>
        </c:ser>
        <c:ser>
          <c:idx val="5"/>
          <c:order val="2"/>
          <c:tx>
            <c:strRef>
              <c:f>Data_Sheet!$P$47</c:f>
              <c:strCache>
                <c:ptCount val="1"/>
                <c:pt idx="0">
                  <c:v>Dummy variable</c:v>
                </c:pt>
              </c:strCache>
            </c:strRef>
          </c:tx>
          <c:spPr>
            <a:noFill/>
            <a:ln>
              <a:noFill/>
            </a:ln>
          </c:spPr>
          <c:invertIfNegative val="0"/>
          <c:trendline>
            <c:name>MB First Nation</c:name>
            <c:spPr>
              <a:ln w="15875">
                <a:solidFill>
                  <a:schemeClr val="tx1"/>
                </a:solidFill>
                <a:prstDash val="lgDashDot"/>
              </a:ln>
            </c:spPr>
            <c:trendlineType val="linear"/>
            <c:forward val="0.5"/>
            <c:backward val="0.5"/>
            <c:dispRSqr val="0"/>
            <c:dispEq val="0"/>
          </c:trendline>
          <c:cat>
            <c:multiLvlStrRef>
              <c:f>Data_Sheet!$B$49:$C$55</c:f>
              <c:multiLvlStrCache>
                <c:ptCount val="7"/>
                <c:lvl>
                  <c:pt idx="0">
                    <c:v>Urban Off-Reserve </c:v>
                  </c:pt>
                  <c:pt idx="1">
                    <c:v>Rural On-Reserve (4)</c:v>
                  </c:pt>
                  <c:pt idx="2">
                    <c:v>Rural Off-Reserve (6)</c:v>
                  </c:pt>
                  <c:pt idx="3">
                    <c:v>Lowest Urban </c:v>
                  </c:pt>
                  <c:pt idx="4">
                    <c:v>Highest Urban </c:v>
                  </c:pt>
                  <c:pt idx="5">
                    <c:v>Lowest Rural </c:v>
                  </c:pt>
                  <c:pt idx="6">
                    <c:v>Highest Rural </c:v>
                  </c:pt>
                </c:lvl>
                <c:lvl>
                  <c:pt idx="0">
                    <c:v>First Nations</c:v>
                  </c:pt>
                  <c:pt idx="3">
                    <c:v>All Other Manitobans</c:v>
                  </c:pt>
                </c:lvl>
              </c:multiLvlStrCache>
            </c:multiLvlStrRef>
          </c:cat>
          <c:val>
            <c:numRef>
              <c:f>Data_Sheet!$P$49:$P$55</c:f>
              <c:numCache>
                <c:formatCode>General</c:formatCode>
                <c:ptCount val="7"/>
              </c:numCache>
            </c:numRef>
          </c:val>
          <c:extLst>
            <c:ext xmlns:c16="http://schemas.microsoft.com/office/drawing/2014/chart" uri="{C3380CC4-5D6E-409C-BE32-E72D297353CC}">
              <c16:uniqueId val="{00000002-4946-454C-86E9-B2B868D14E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50"/>
        <c:axId val="88258048"/>
        <c:axId val="88259584"/>
      </c:barChart>
      <c:catAx>
        <c:axId val="88258048"/>
        <c:scaling>
          <c:orientation val="maxMin"/>
        </c:scaling>
        <c:delete val="0"/>
        <c:axPos val="l"/>
        <c:numFmt formatCode="General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 b="0"/>
            </a:pPr>
            <a:endParaRPr lang="en-US"/>
          </a:p>
        </c:txPr>
        <c:crossAx val="88259584"/>
        <c:crosses val="autoZero"/>
        <c:auto val="1"/>
        <c:lblAlgn val="ctr"/>
        <c:lblOffset val="100"/>
        <c:noMultiLvlLbl val="0"/>
      </c:catAx>
      <c:valAx>
        <c:axId val="88259584"/>
        <c:scaling>
          <c:orientation val="minMax"/>
          <c:max val="20"/>
        </c:scaling>
        <c:delete val="0"/>
        <c:axPos val="b"/>
        <c:majorGridlines>
          <c:spPr>
            <a:ln w="9525">
              <a:solidFill>
                <a:schemeClr val="bg1">
                  <a:lumMod val="75000"/>
                </a:schemeClr>
              </a:solidFill>
            </a:ln>
          </c:spPr>
        </c:majorGridlines>
        <c:numFmt formatCode="#,##0" sourceLinked="0"/>
        <c:majorTickMark val="none"/>
        <c:minorTickMark val="none"/>
        <c:tickLblPos val="nextTo"/>
        <c:spPr>
          <a:ln>
            <a:solidFill>
              <a:schemeClr val="tx1"/>
            </a:solidFill>
          </a:ln>
        </c:spPr>
        <c:txPr>
          <a:bodyPr/>
          <a:lstStyle/>
          <a:p>
            <a:pPr>
              <a:defRPr sz="800"/>
            </a:pPr>
            <a:endParaRPr lang="en-US"/>
          </a:p>
        </c:txPr>
        <c:crossAx val="88258048"/>
        <c:crosses val="max"/>
        <c:crossBetween val="between"/>
      </c:valAx>
      <c:spPr>
        <a:ln>
          <a:solidFill>
            <a:schemeClr val="tx1"/>
          </a:solidFill>
        </a:ln>
      </c:spPr>
    </c:plotArea>
    <c:plotVisOnly val="1"/>
    <c:dispBlanksAs val="gap"/>
    <c:showDLblsOverMax val="0"/>
  </c:chart>
  <c:spPr>
    <a:ln>
      <a:noFill/>
    </a:ln>
  </c:spPr>
  <c:txPr>
    <a:bodyPr/>
    <a:lstStyle/>
    <a:p>
      <a:pPr>
        <a:defRPr sz="800">
          <a:latin typeface="Segoe UI" panose="020B0502040204020203" pitchFamily="34" charset="0"/>
          <a:ea typeface="Segoe UI" panose="020B0502040204020203" pitchFamily="34" charset="0"/>
          <a:cs typeface="Segoe UI" panose="020B0502040204020203" pitchFamily="34" charset="0"/>
        </a:defRPr>
      </a:pPr>
      <a:endParaRPr lang="en-US"/>
    </a:p>
  </c:txPr>
  <c:userShapes r:id="rId1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3" tint="-9.9978637043366805E-2"/>
  </sheetPr>
  <sheetViews>
    <sheetView zoomScale="130" workbookViewId="0"/>
  </sheetViews>
  <pageMargins left="0.70866141732283461" right="0.70866141732283461" top="3.1496062992125986" bottom="3.1496062992125986" header="0.31496062992125984" footer="0.31496062992125984"/>
  <pageSetup orientation="portrait" r:id="rId1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3" tint="-9.9978637043366805E-2"/>
  </sheetPr>
  <sheetViews>
    <sheetView zoomScale="130" workbookViewId="0"/>
  </sheetViews>
  <pageMargins left="0.70866141732283461" right="0.70866141732283461" top="3.1496062992125986" bottom="3.1496062992125986" header="0.31496062992125984" footer="0.31496062992125984"/>
  <pageSetup orientation="portrait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359769" cy="41851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0.07913</cdr:y>
    </cdr:to>
    <cdr:sp macro="" textlink="">
      <cdr:nvSpPr>
        <cdr:cNvPr id="4" name="TextBox 1"/>
        <cdr:cNvSpPr txBox="1"/>
      </cdr:nvSpPr>
      <cdr:spPr>
        <a:xfrm xmlns:a="http://schemas.openxmlformats.org/drawingml/2006/main">
          <a:off x="0" y="0"/>
          <a:ext cx="6550269" cy="35192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900" b="1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Figure 11.1:</a:t>
          </a:r>
          <a: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 Rate of Infant Mortality by Health Region</a:t>
          </a:r>
          <a:b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</a:br>
          <a:r>
            <a:rPr lang="en-CA" sz="900" b="0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Crude rate, per 1,000 liveborn infants age &lt;1, 2012-2016</a:t>
          </a:r>
          <a:endParaRPr lang="en-US" sz="900" b="0">
            <a:effectLst/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0.00126</cdr:x>
      <cdr:y>0.83056</cdr:y>
    </cdr:from>
    <cdr:to>
      <cdr:x>1</cdr:x>
      <cdr:y>1</cdr:y>
    </cdr:to>
    <cdr:sp macro="" textlink="">
      <cdr:nvSpPr>
        <cdr:cNvPr id="5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272" y="3699967"/>
          <a:ext cx="6556651" cy="7548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s - Data suppressed due to small numbers</a:t>
          </a:r>
        </a:p>
        <a:p xmlns:a="http://schemas.openxmlformats.org/drawingml/2006/main">
          <a:pPr algn="l" rtl="0">
            <a:defRPr sz="1000"/>
          </a:pPr>
          <a: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  <a:t>Avg - Manitoba average</a:t>
          </a:r>
          <a:br>
            <a:rPr lang="en-US" sz="700" b="0" i="0" u="none" strike="noStrike" baseline="0">
              <a:latin typeface="Segoe UI" panose="020B0502040204020203" pitchFamily="34" charset="0"/>
              <a:cs typeface="Segoe UI" panose="020B0502040204020203" pitchFamily="34" charset="0"/>
            </a:rPr>
          </a:br>
          <a:endParaRPr lang="en-US" sz="700" b="0" i="0" u="none" strike="noStrike" baseline="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</cdr:x>
      <cdr:y>0.17713</cdr:y>
    </cdr:from>
    <cdr:to>
      <cdr:x>0.29709</cdr:x>
      <cdr:y>0.1932</cdr:y>
    </cdr:to>
    <cdr:sp macro="" textlink="Data_Sheet!$M$4">
      <cdr:nvSpPr>
        <cdr:cNvPr id="7" name="TextBox 1"/>
        <cdr:cNvSpPr txBox="1"/>
      </cdr:nvSpPr>
      <cdr:spPr>
        <a:xfrm xmlns:a="http://schemas.openxmlformats.org/drawingml/2006/main">
          <a:off x="1839083" y="789287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E51DD98-B282-4C3D-8D34-800172EA8F34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0.28055</cdr:x>
      <cdr:y>0.18923</cdr:y>
    </cdr:from>
    <cdr:to>
      <cdr:x>0.29764</cdr:x>
      <cdr:y>0.2053</cdr:y>
    </cdr:to>
    <cdr:sp macro="" textlink="Data_Sheet!$N$4">
      <cdr:nvSpPr>
        <cdr:cNvPr id="8" name="TextBox 1"/>
        <cdr:cNvSpPr txBox="1"/>
      </cdr:nvSpPr>
      <cdr:spPr>
        <a:xfrm xmlns:a="http://schemas.openxmlformats.org/drawingml/2006/main">
          <a:off x="1842677" y="843203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F16DD46-81F9-4483-A92D-4C12B9D9E481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s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0.28055</cdr:x>
      <cdr:y>0.20213</cdr:y>
    </cdr:from>
    <cdr:to>
      <cdr:x>0.29764</cdr:x>
      <cdr:y>0.21821</cdr:y>
    </cdr:to>
    <cdr:sp macro="" textlink="Data_Sheet!$O$4">
      <cdr:nvSpPr>
        <cdr:cNvPr id="9" name="TextBox 1"/>
        <cdr:cNvSpPr txBox="1"/>
      </cdr:nvSpPr>
      <cdr:spPr>
        <a:xfrm xmlns:a="http://schemas.openxmlformats.org/drawingml/2006/main">
          <a:off x="1842678" y="900712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B08008C-6145-4561-9507-838BAE6494FA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0.28055</cdr:x>
      <cdr:y>0.21423</cdr:y>
    </cdr:from>
    <cdr:to>
      <cdr:x>0.29764</cdr:x>
      <cdr:y>0.23031</cdr:y>
    </cdr:to>
    <cdr:sp macro="" textlink="Data_Sheet!$P$4">
      <cdr:nvSpPr>
        <cdr:cNvPr id="10" name="TextBox 1"/>
        <cdr:cNvSpPr txBox="1"/>
      </cdr:nvSpPr>
      <cdr:spPr>
        <a:xfrm xmlns:a="http://schemas.openxmlformats.org/drawingml/2006/main">
          <a:off x="1842677" y="954628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102B762-D787-4184-8390-754AFB12837C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0.27945</cdr:x>
      <cdr:y>0.29005</cdr:y>
    </cdr:from>
    <cdr:to>
      <cdr:x>0.29655</cdr:x>
      <cdr:y>0.30613</cdr:y>
    </cdr:to>
    <cdr:sp macro="" textlink="Data_Sheet!$N$5">
      <cdr:nvSpPr>
        <cdr:cNvPr id="11" name="TextBox 1"/>
        <cdr:cNvSpPr txBox="1"/>
      </cdr:nvSpPr>
      <cdr:spPr>
        <a:xfrm xmlns:a="http://schemas.openxmlformats.org/drawingml/2006/main">
          <a:off x="1835488" y="1292495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BB6539B-BD05-4F80-B090-35B89E3506AC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0.27945</cdr:x>
      <cdr:y>0.30538</cdr:y>
    </cdr:from>
    <cdr:to>
      <cdr:x>0.29655</cdr:x>
      <cdr:y>0.32146</cdr:y>
    </cdr:to>
    <cdr:sp macro="" textlink="Data_Sheet!$O$5">
      <cdr:nvSpPr>
        <cdr:cNvPr id="12" name="TextBox 1"/>
        <cdr:cNvSpPr txBox="1"/>
      </cdr:nvSpPr>
      <cdr:spPr>
        <a:xfrm xmlns:a="http://schemas.openxmlformats.org/drawingml/2006/main">
          <a:off x="1835489" y="1360788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D1C04E88-AE10-4B50-81C8-EE56BB8D5A52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0.27945</cdr:x>
      <cdr:y>0.31829</cdr:y>
    </cdr:from>
    <cdr:to>
      <cdr:x>0.29655</cdr:x>
      <cdr:y>0.33436</cdr:y>
    </cdr:to>
    <cdr:sp macro="" textlink="Data_Sheet!$P$5">
      <cdr:nvSpPr>
        <cdr:cNvPr id="13" name="TextBox 1"/>
        <cdr:cNvSpPr txBox="1"/>
      </cdr:nvSpPr>
      <cdr:spPr>
        <a:xfrm xmlns:a="http://schemas.openxmlformats.org/drawingml/2006/main">
          <a:off x="1835488" y="1418298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1082C43-18FF-481C-94CE-6D74D578172B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0.28055</cdr:x>
      <cdr:y>0.3812</cdr:y>
    </cdr:from>
    <cdr:to>
      <cdr:x>0.29764</cdr:x>
      <cdr:y>0.39728</cdr:y>
    </cdr:to>
    <cdr:sp macro="" textlink="Data_Sheet!$M$6">
      <cdr:nvSpPr>
        <cdr:cNvPr id="14" name="TextBox 1"/>
        <cdr:cNvSpPr txBox="1"/>
      </cdr:nvSpPr>
      <cdr:spPr>
        <a:xfrm xmlns:a="http://schemas.openxmlformats.org/drawingml/2006/main">
          <a:off x="1842677" y="1698656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C8AE8EB2-8007-4A7C-AE78-81943BB68BFF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0.2811</cdr:x>
      <cdr:y>0.39411</cdr:y>
    </cdr:from>
    <cdr:to>
      <cdr:x>0.29819</cdr:x>
      <cdr:y>0.41018</cdr:y>
    </cdr:to>
    <cdr:sp macro="" textlink="Data_Sheet!$N$6">
      <cdr:nvSpPr>
        <cdr:cNvPr id="15" name="TextBox 1"/>
        <cdr:cNvSpPr txBox="1"/>
      </cdr:nvSpPr>
      <cdr:spPr>
        <a:xfrm xmlns:a="http://schemas.openxmlformats.org/drawingml/2006/main">
          <a:off x="1846272" y="1756165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6DEF58D-4CA2-4B86-A0AB-348A56035C45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s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0.2811</cdr:x>
      <cdr:y>0.40782</cdr:y>
    </cdr:from>
    <cdr:to>
      <cdr:x>0.29819</cdr:x>
      <cdr:y>0.4239</cdr:y>
    </cdr:to>
    <cdr:sp macro="" textlink="Data_Sheet!$O$6">
      <cdr:nvSpPr>
        <cdr:cNvPr id="16" name="TextBox 1"/>
        <cdr:cNvSpPr txBox="1"/>
      </cdr:nvSpPr>
      <cdr:spPr>
        <a:xfrm xmlns:a="http://schemas.openxmlformats.org/drawingml/2006/main">
          <a:off x="1846272" y="1817269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31E1B66-3621-459B-BDC8-B0FF33C14D21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0.2811</cdr:x>
      <cdr:y>0.42073</cdr:y>
    </cdr:from>
    <cdr:to>
      <cdr:x>0.29819</cdr:x>
      <cdr:y>0.4368</cdr:y>
    </cdr:to>
    <cdr:sp macro="" textlink="Data_Sheet!$P$6">
      <cdr:nvSpPr>
        <cdr:cNvPr id="17" name="TextBox 1"/>
        <cdr:cNvSpPr txBox="1"/>
      </cdr:nvSpPr>
      <cdr:spPr>
        <a:xfrm xmlns:a="http://schemas.openxmlformats.org/drawingml/2006/main">
          <a:off x="1846272" y="1874778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5283801-51A8-4FA8-84F9-81EF0B263035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</cdr:x>
      <cdr:y>0.48606</cdr:y>
    </cdr:from>
    <cdr:to>
      <cdr:x>0.29709</cdr:x>
      <cdr:y>0.50214</cdr:y>
    </cdr:to>
    <cdr:sp macro="" textlink="Data_Sheet!$M$7">
      <cdr:nvSpPr>
        <cdr:cNvPr id="18" name="TextBox 1"/>
        <cdr:cNvSpPr txBox="1"/>
      </cdr:nvSpPr>
      <cdr:spPr>
        <a:xfrm xmlns:a="http://schemas.openxmlformats.org/drawingml/2006/main">
          <a:off x="1839083" y="2165920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49D038A5-514F-4D0D-87D7-929BFF91724C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</cdr:x>
      <cdr:y>0.49897</cdr:y>
    </cdr:from>
    <cdr:to>
      <cdr:x>0.29709</cdr:x>
      <cdr:y>0.51505</cdr:y>
    </cdr:to>
    <cdr:sp macro="" textlink="Data_Sheet!$N$7">
      <cdr:nvSpPr>
        <cdr:cNvPr id="19" name="TextBox 1"/>
        <cdr:cNvSpPr txBox="1"/>
      </cdr:nvSpPr>
      <cdr:spPr>
        <a:xfrm xmlns:a="http://schemas.openxmlformats.org/drawingml/2006/main">
          <a:off x="1839083" y="2223430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B0126A8F-50FF-4B80-9FD4-FF7A5C292C0B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0.27945</cdr:x>
      <cdr:y>0.51107</cdr:y>
    </cdr:from>
    <cdr:to>
      <cdr:x>0.29655</cdr:x>
      <cdr:y>0.52714</cdr:y>
    </cdr:to>
    <cdr:sp macro="" textlink="Data_Sheet!$O$7">
      <cdr:nvSpPr>
        <cdr:cNvPr id="20" name="TextBox 1"/>
        <cdr:cNvSpPr txBox="1"/>
      </cdr:nvSpPr>
      <cdr:spPr>
        <a:xfrm xmlns:a="http://schemas.openxmlformats.org/drawingml/2006/main">
          <a:off x="1835489" y="2277344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041EC44-02A0-43C5-9634-0FF5B0CFBE5B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</cdr:x>
      <cdr:y>0.52397</cdr:y>
    </cdr:from>
    <cdr:to>
      <cdr:x>0.29709</cdr:x>
      <cdr:y>0.54005</cdr:y>
    </cdr:to>
    <cdr:sp macro="" textlink="Data_Sheet!$P$7">
      <cdr:nvSpPr>
        <cdr:cNvPr id="21" name="TextBox 1"/>
        <cdr:cNvSpPr txBox="1"/>
      </cdr:nvSpPr>
      <cdr:spPr>
        <a:xfrm xmlns:a="http://schemas.openxmlformats.org/drawingml/2006/main">
          <a:off x="1839083" y="2334854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5C02398-C0F4-4A9A-8502-A6B2DDC2F092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</cdr:x>
      <cdr:y>0.58696</cdr:y>
    </cdr:from>
    <cdr:to>
      <cdr:x>0.29709</cdr:x>
      <cdr:y>0.60304</cdr:y>
    </cdr:to>
    <cdr:sp macro="" textlink="Data_Sheet!$M$8">
      <cdr:nvSpPr>
        <cdr:cNvPr id="22" name="TextBox 1"/>
        <cdr:cNvSpPr txBox="1"/>
      </cdr:nvSpPr>
      <cdr:spPr>
        <a:xfrm xmlns:a="http://schemas.openxmlformats.org/drawingml/2006/main">
          <a:off x="1839083" y="2615539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85FF2EA-1A0A-4E90-8808-DFD6F63C98E4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0.27934</cdr:x>
      <cdr:y>0.60154</cdr:y>
    </cdr:from>
    <cdr:to>
      <cdr:x>0.29643</cdr:x>
      <cdr:y>0.61761</cdr:y>
    </cdr:to>
    <cdr:sp macro="" textlink="Data_Sheet!$N$8">
      <cdr:nvSpPr>
        <cdr:cNvPr id="23" name="TextBox 1"/>
        <cdr:cNvSpPr txBox="1"/>
      </cdr:nvSpPr>
      <cdr:spPr>
        <a:xfrm xmlns:a="http://schemas.openxmlformats.org/drawingml/2006/main">
          <a:off x="1834754" y="2680482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7B9E7865-58C7-460E-A6EC-E6D6918A627F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0.28066</cdr:x>
      <cdr:y>0.6132</cdr:y>
    </cdr:from>
    <cdr:to>
      <cdr:x>0.29775</cdr:x>
      <cdr:y>0.62927</cdr:y>
    </cdr:to>
    <cdr:sp macro="" textlink="Data_Sheet!$O$8">
      <cdr:nvSpPr>
        <cdr:cNvPr id="24" name="TextBox 1"/>
        <cdr:cNvSpPr txBox="1"/>
      </cdr:nvSpPr>
      <cdr:spPr>
        <a:xfrm xmlns:a="http://schemas.openxmlformats.org/drawingml/2006/main">
          <a:off x="1843412" y="2732436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97062746-3658-4CB3-84F6-F4028BD0B1AA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0.28066</cdr:x>
      <cdr:y>0.62777</cdr:y>
    </cdr:from>
    <cdr:to>
      <cdr:x>0.29775</cdr:x>
      <cdr:y>0.64385</cdr:y>
    </cdr:to>
    <cdr:sp macro="" textlink="Data_Sheet!$P$8">
      <cdr:nvSpPr>
        <cdr:cNvPr id="25" name="TextBox 1"/>
        <cdr:cNvSpPr txBox="1"/>
      </cdr:nvSpPr>
      <cdr:spPr>
        <a:xfrm xmlns:a="http://schemas.openxmlformats.org/drawingml/2006/main">
          <a:off x="1843412" y="2797380"/>
          <a:ext cx="112260" cy="71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EB00CCC9-F4E6-40FC-95D8-A47F58E0389D}" type="TxLink">
            <a:rPr lang="en-US" sz="65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0.28035</cdr:x>
      <cdr:y>0.49643</cdr:y>
    </cdr:from>
    <cdr:to>
      <cdr:x>0.29744</cdr:x>
      <cdr:y>0.5125</cdr:y>
    </cdr:to>
    <cdr:sp macro="" textlink="Data_Sheet!$N$7">
      <cdr:nvSpPr>
        <cdr:cNvPr id="26" name="TextBox 1"/>
        <cdr:cNvSpPr txBox="1"/>
      </cdr:nvSpPr>
      <cdr:spPr>
        <a:xfrm xmlns:a="http://schemas.openxmlformats.org/drawingml/2006/main">
          <a:off x="1840497" y="2211471"/>
          <a:ext cx="112194" cy="71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1E34273E-EB51-4FC4-AFD0-E05BF76B8BB5}" type="TxLink">
            <a:rPr lang="en-US" sz="1100" b="0" i="0" u="none" strike="noStrike">
              <a:solidFill>
                <a:srgbClr val="262626"/>
              </a:solidFill>
              <a:latin typeface="Calibri"/>
              <a:cs typeface="Segoe UI" panose="020B0502040204020203" pitchFamily="34" charset="0"/>
            </a:rPr>
            <a:pPr algn="l"/>
            <a:t> </a:t>
          </a:fld>
          <a:endParaRPr lang="en-CA" sz="65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6359769" cy="4185138"/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0.10623</cdr:y>
    </cdr:to>
    <cdr:sp macro="" textlink="">
      <cdr:nvSpPr>
        <cdr:cNvPr id="16" name="TextBox 1"/>
        <cdr:cNvSpPr txBox="1"/>
      </cdr:nvSpPr>
      <cdr:spPr>
        <a:xfrm xmlns:a="http://schemas.openxmlformats.org/drawingml/2006/main">
          <a:off x="0" y="0"/>
          <a:ext cx="6195646" cy="424661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lIns="0" tIns="0" rIns="0" bIns="0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CA" sz="800" b="1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Figure 11.2:</a:t>
          </a:r>
          <a:r>
            <a:rPr lang="en-CA" sz="8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 Rate of Infant Mortality for First Nations by On- and Off-Reserve and for All Other Manitobans by Income Quintile</a:t>
          </a:r>
          <a: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/>
          </a:r>
          <a:br>
            <a:rPr lang="en-CA" sz="900" b="1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</a:br>
          <a:r>
            <a:rPr lang="en-CA" sz="800" b="0" baseline="0">
              <a:effectLst/>
              <a:latin typeface="Segoe UI" pitchFamily="34" charset="0"/>
              <a:ea typeface="Segoe UI" pitchFamily="34" charset="0"/>
              <a:cs typeface="Segoe UI" pitchFamily="34" charset="0"/>
            </a:rPr>
            <a:t>Crude rate, per 1,000 liveborn infants age &lt;1, 2012-2016</a:t>
          </a:r>
        </a:p>
        <a:p xmlns:a="http://schemas.openxmlformats.org/drawingml/2006/main">
          <a:pPr algn="ctr"/>
          <a:endParaRPr lang="en-US" sz="800" b="0">
            <a:effectLst/>
            <a:latin typeface="Segoe UI" pitchFamily="34" charset="0"/>
            <a:ea typeface="Segoe UI" pitchFamily="34" charset="0"/>
            <a:cs typeface="Segoe UI" pitchFamily="34" charset="0"/>
          </a:endParaRPr>
        </a:p>
      </cdr:txBody>
    </cdr:sp>
  </cdr:relSizeAnchor>
  <cdr:relSizeAnchor xmlns:cdr="http://schemas.openxmlformats.org/drawingml/2006/chartDrawing">
    <cdr:from>
      <cdr:x>0</cdr:x>
      <cdr:y>0.78987</cdr:y>
    </cdr:from>
    <cdr:to>
      <cdr:x>1</cdr:x>
      <cdr:y>1</cdr:y>
    </cdr:to>
    <cdr:sp macro="" textlink="">
      <cdr:nvSpPr>
        <cdr:cNvPr id="17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0" y="3165231"/>
          <a:ext cx="6232071" cy="8420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wrap="square" lIns="27432" tIns="18288" rIns="0" bIns="0" anchor="t" upright="1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chemeClr val="tx1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Statistically significant differences (p&lt;0.01):</a:t>
          </a:r>
        </a:p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chemeClr val="tx1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4 - Rural areas: On-Reserve First Nations compared to AOM in the highest income quintile </a:t>
          </a:r>
        </a:p>
        <a:p xmlns:a="http://schemas.openxmlformats.org/drawingml/2006/main">
          <a:pPr algn="l" rtl="0">
            <a:defRPr sz="1000"/>
          </a:pPr>
          <a:r>
            <a:rPr lang="en-CA" sz="700" b="0" i="0" u="none" strike="noStrike" baseline="0">
              <a:solidFill>
                <a:schemeClr val="tx1"/>
              </a:solidFill>
              <a:latin typeface="Segoe UI" panose="020B0502040204020203" pitchFamily="34" charset="0"/>
              <a:ea typeface="Segoe UI" panose="020B0502040204020203" pitchFamily="34" charset="0"/>
              <a:cs typeface="Segoe UI" panose="020B0502040204020203" pitchFamily="34" charset="0"/>
            </a:rPr>
            <a:t>6 - Rural areas: Off-Reserve First Nations compared with AOM in the highest income quintile</a:t>
          </a:r>
        </a:p>
      </cdr:txBody>
    </cdr:sp>
  </cdr:relSizeAnchor>
  <cdr:relSizeAnchor xmlns:cdr="http://schemas.openxmlformats.org/drawingml/2006/chartDrawing">
    <cdr:from>
      <cdr:x>0.23372</cdr:x>
      <cdr:y>0.13562</cdr:y>
    </cdr:from>
    <cdr:to>
      <cdr:x>0.25119</cdr:x>
      <cdr:y>0.16018</cdr:y>
    </cdr:to>
    <cdr:sp macro="" textlink="Data_Sheet!$M$49">
      <cdr:nvSpPr>
        <cdr:cNvPr id="15" name="TextBox 1"/>
        <cdr:cNvSpPr txBox="1"/>
      </cdr:nvSpPr>
      <cdr:spPr>
        <a:xfrm xmlns:a="http://schemas.openxmlformats.org/drawingml/2006/main">
          <a:off x="1456559" y="543472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3A6BE0AD-D149-4AF2-8BAF-69D8AAC7F49F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0.23372</cdr:x>
      <cdr:y>0.22193</cdr:y>
    </cdr:from>
    <cdr:to>
      <cdr:x>0.25119</cdr:x>
      <cdr:y>0.2465</cdr:y>
    </cdr:to>
    <cdr:sp macro="" textlink="Data_Sheet!$M$50">
      <cdr:nvSpPr>
        <cdr:cNvPr id="20" name="TextBox 1"/>
        <cdr:cNvSpPr txBox="1"/>
      </cdr:nvSpPr>
      <cdr:spPr>
        <a:xfrm xmlns:a="http://schemas.openxmlformats.org/drawingml/2006/main">
          <a:off x="1456559" y="889354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FF11FAF1-0F4F-43FA-80EE-E6DD8408F973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0.23477</cdr:x>
      <cdr:y>0.31026</cdr:y>
    </cdr:from>
    <cdr:to>
      <cdr:x>0.25224</cdr:x>
      <cdr:y>0.33483</cdr:y>
    </cdr:to>
    <cdr:sp macro="" textlink="Data_Sheet!$M$51">
      <cdr:nvSpPr>
        <cdr:cNvPr id="21" name="TextBox 1"/>
        <cdr:cNvSpPr txBox="1"/>
      </cdr:nvSpPr>
      <cdr:spPr>
        <a:xfrm xmlns:a="http://schemas.openxmlformats.org/drawingml/2006/main">
          <a:off x="1463128" y="1243319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0EEFE821-4411-4805-A939-40CFF4E9DAFE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0.23595</cdr:x>
      <cdr:y>0.40429</cdr:y>
    </cdr:from>
    <cdr:to>
      <cdr:x>0.25341</cdr:x>
      <cdr:y>0.42885</cdr:y>
    </cdr:to>
    <cdr:sp macro="" textlink="Data_Sheet!$M$52">
      <cdr:nvSpPr>
        <cdr:cNvPr id="22" name="TextBox 1"/>
        <cdr:cNvSpPr txBox="1"/>
      </cdr:nvSpPr>
      <cdr:spPr>
        <a:xfrm xmlns:a="http://schemas.openxmlformats.org/drawingml/2006/main">
          <a:off x="1467754" y="1617353"/>
          <a:ext cx="108611" cy="9825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5E9DFDC-77CC-4311-8848-CBD849458AA0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0.23583</cdr:x>
      <cdr:y>0.48365</cdr:y>
    </cdr:from>
    <cdr:to>
      <cdr:x>0.2533</cdr:x>
      <cdr:y>0.50821</cdr:y>
    </cdr:to>
    <cdr:sp macro="" textlink="Data_Sheet!$M$53">
      <cdr:nvSpPr>
        <cdr:cNvPr id="23" name="TextBox 1"/>
        <cdr:cNvSpPr txBox="1"/>
      </cdr:nvSpPr>
      <cdr:spPr>
        <a:xfrm xmlns:a="http://schemas.openxmlformats.org/drawingml/2006/main">
          <a:off x="1469697" y="1938115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A81AFCD1-2F32-4F2A-B78A-3B29AC2D1A0B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0.23688</cdr:x>
      <cdr:y>0.57525</cdr:y>
    </cdr:from>
    <cdr:to>
      <cdr:x>0.25435</cdr:x>
      <cdr:y>0.59982</cdr:y>
    </cdr:to>
    <cdr:sp macro="" textlink="Data_Sheet!$M$54">
      <cdr:nvSpPr>
        <cdr:cNvPr id="24" name="TextBox 1"/>
        <cdr:cNvSpPr txBox="1"/>
      </cdr:nvSpPr>
      <cdr:spPr>
        <a:xfrm xmlns:a="http://schemas.openxmlformats.org/drawingml/2006/main">
          <a:off x="1476265" y="2305219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55A1D288-8F3D-4D6E-A8BB-75EAAEE332CE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0.23477</cdr:x>
      <cdr:y>0.66705</cdr:y>
    </cdr:from>
    <cdr:to>
      <cdr:x>0.25224</cdr:x>
      <cdr:y>0.69161</cdr:y>
    </cdr:to>
    <cdr:sp macro="" textlink="Data_Sheet!$M$55">
      <cdr:nvSpPr>
        <cdr:cNvPr id="25" name="TextBox 1"/>
        <cdr:cNvSpPr txBox="1"/>
      </cdr:nvSpPr>
      <cdr:spPr>
        <a:xfrm xmlns:a="http://schemas.openxmlformats.org/drawingml/2006/main">
          <a:off x="1463127" y="2673080"/>
          <a:ext cx="108858" cy="9843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l"/>
          <a:fld id="{67FEE59C-5D45-45D2-AF9D-4F7395FA8D99}" type="TxLink">
            <a:rPr lang="en-US" sz="800" b="0" i="0" u="none" strike="noStrike">
              <a:solidFill>
                <a:srgbClr val="262626"/>
              </a:solidFill>
              <a:latin typeface="Segoe UI" panose="020B0502040204020203" pitchFamily="34" charset="0"/>
              <a:cs typeface="Segoe UI" panose="020B0502040204020203" pitchFamily="34" charset="0"/>
            </a:rPr>
            <a:pPr algn="l"/>
            <a:t> </a:t>
          </a:fld>
          <a:endParaRPr lang="en-CA" sz="800">
            <a:latin typeface="Segoe UI" panose="020B0502040204020203" pitchFamily="34" charset="0"/>
            <a:cs typeface="Segoe UI" panose="020B0502040204020203" pitchFamily="34" charset="0"/>
          </a:endParaRPr>
        </a:p>
      </cdr:txBody>
    </cdr:sp>
  </cdr:relSizeAnchor>
  <cdr:relSizeAnchor xmlns:cdr="http://schemas.openxmlformats.org/drawingml/2006/chartDrawing">
    <cdr:from>
      <cdr:x>0.70167</cdr:x>
      <cdr:y>0.12561</cdr:y>
    </cdr:from>
    <cdr:to>
      <cdr:x>0.95369</cdr:x>
      <cdr:y>0.25158</cdr:y>
    </cdr:to>
    <cdr:grpSp>
      <cdr:nvGrpSpPr>
        <cdr:cNvPr id="18" name="Group 17">
          <a:extLst xmlns:a="http://schemas.openxmlformats.org/drawingml/2006/main">
            <a:ext uri="{FF2B5EF4-FFF2-40B4-BE49-F238E27FC236}">
              <a16:creationId xmlns:a16="http://schemas.microsoft.com/office/drawing/2014/main" id="{4CBF6F77-96EE-43B4-9D87-CD14A7E5E29D}"/>
            </a:ext>
          </a:extLst>
        </cdr:cNvPr>
        <cdr:cNvGrpSpPr/>
      </cdr:nvGrpSpPr>
      <cdr:grpSpPr>
        <a:xfrm xmlns:a="http://schemas.openxmlformats.org/drawingml/2006/main">
          <a:off x="4462459" y="525695"/>
          <a:ext cx="1602789" cy="527202"/>
          <a:chOff x="0" y="0"/>
          <a:chExt cx="1527263" cy="539991"/>
        </a:xfrm>
      </cdr:grpSpPr>
      <cdr:sp macro="" textlink="">
        <cdr:nvSpPr>
          <cdr:cNvPr id="19" name="TextBox 1"/>
          <cdr:cNvSpPr txBox="1"/>
        </cdr:nvSpPr>
        <cdr:spPr>
          <a:xfrm xmlns:a="http://schemas.openxmlformats.org/drawingml/2006/main">
            <a:off x="0" y="0"/>
            <a:ext cx="1527263" cy="539991"/>
          </a:xfrm>
          <a:prstGeom xmlns:a="http://schemas.openxmlformats.org/drawingml/2006/main" prst="rect">
            <a:avLst/>
          </a:prstGeom>
          <a:solidFill xmlns:a="http://schemas.openxmlformats.org/drawingml/2006/main">
            <a:schemeClr val="bg1"/>
          </a:solidFill>
          <a:ln xmlns:a="http://schemas.openxmlformats.org/drawingml/2006/main">
            <a:solidFill>
              <a:schemeClr val="tx1"/>
            </a:solidFill>
          </a:ln>
        </cdr:spPr>
        <cdr:txBody>
          <a:bodyPr xmlns:a="http://schemas.openxmlformats.org/drawingml/2006/main" wrap="square" rtlCol="0" anchor="ctr">
            <a:noAutofit/>
          </a:bodyPr>
          <a:lstStyle xmlns:a="http://schemas.openxmlformats.org/drawingml/2006/main">
            <a:lvl1pPr marL="0" indent="0">
              <a:defRPr sz="1100"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pPr>
              <a:spcAft>
                <a:spcPts val="0"/>
              </a:spcAft>
            </a:pPr>
            <a:r>
              <a:rPr lang="en-CA" sz="70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                First Nations</a:t>
            </a:r>
            <a:r>
              <a:rPr lang="en-CA" sz="4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/>
            </a:r>
            <a:br>
              <a:rPr lang="en-CA" sz="4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</a:br>
            <a:r>
              <a:rPr lang="en-CA" sz="4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</a:t>
            </a:r>
            <a:r>
              <a:rPr lang="en-CA" sz="5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</a:t>
            </a:r>
            <a:r>
              <a:rPr lang="en-CA" sz="7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/>
            </a:r>
            <a:br>
              <a:rPr lang="en-CA" sz="7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</a:br>
            <a:r>
              <a:rPr lang="en-CA" sz="700" baseline="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                 </a:t>
            </a:r>
            <a:r>
              <a:rPr lang="en-CA" sz="700">
                <a:effectLst/>
                <a:latin typeface="Segoe UI" panose="020B0502040204020203" pitchFamily="34" charset="0"/>
                <a:ea typeface="Times New Roman" panose="02020603050405020304" pitchFamily="18" charset="0"/>
              </a:rPr>
              <a:t>All Other Manitobans</a:t>
            </a:r>
            <a:endParaRPr lang="en-CA" sz="700">
              <a:effectLst/>
              <a:latin typeface="Times New Roman" panose="02020603050405020304" pitchFamily="18" charset="0"/>
              <a:ea typeface="Times New Roman" panose="02020603050405020304" pitchFamily="18" charset="0"/>
            </a:endParaRPr>
          </a:p>
        </cdr:txBody>
      </cdr:sp>
      <cdr:sp macro="" textlink="">
        <cdr:nvSpPr>
          <cdr:cNvPr id="26" name="Rectangle 25"/>
          <cdr:cNvSpPr/>
        </cdr:nvSpPr>
        <cdr:spPr>
          <a:xfrm xmlns:a="http://schemas.openxmlformats.org/drawingml/2006/main">
            <a:off x="89328" y="123052"/>
            <a:ext cx="326700" cy="70088"/>
          </a:xfrm>
          <a:prstGeom xmlns:a="http://schemas.openxmlformats.org/drawingml/2006/main" prst="rect">
            <a:avLst/>
          </a:prstGeom>
          <a:pattFill xmlns:a="http://schemas.openxmlformats.org/drawingml/2006/main" prst="dkUpDiag">
            <a:fgClr>
              <a:schemeClr val="accent1"/>
            </a:fgClr>
            <a:bgClr>
              <a:schemeClr val="bg1"/>
            </a:bgClr>
          </a:pattFill>
          <a:ln xmlns:a="http://schemas.openxmlformats.org/drawingml/2006/main" w="9525">
            <a:solidFill>
              <a:schemeClr val="accent1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CA"/>
          </a:p>
        </cdr:txBody>
      </cdr:sp>
      <cdr:sp macro="" textlink="">
        <cdr:nvSpPr>
          <cdr:cNvPr id="27" name="Rectangle 26"/>
          <cdr:cNvSpPr/>
        </cdr:nvSpPr>
        <cdr:spPr>
          <a:xfrm xmlns:a="http://schemas.openxmlformats.org/drawingml/2006/main">
            <a:off x="94814" y="369566"/>
            <a:ext cx="326182" cy="69633"/>
          </a:xfrm>
          <a:prstGeom xmlns:a="http://schemas.openxmlformats.org/drawingml/2006/main" prst="rect">
            <a:avLst/>
          </a:prstGeom>
          <a:solidFill xmlns:a="http://schemas.openxmlformats.org/drawingml/2006/main">
            <a:srgbClr val="00857D"/>
          </a:solidFill>
          <a:ln xmlns:a="http://schemas.openxmlformats.org/drawingml/2006/main" w="9525">
            <a:solidFill>
              <a:srgbClr val="00857D"/>
            </a:solidFill>
          </a:ln>
        </cdr:spPr>
        <cdr:style>
          <a:lnRef xmlns:a="http://schemas.openxmlformats.org/drawingml/2006/main" idx="2">
            <a:schemeClr val="accent1">
              <a:shade val="50000"/>
            </a:schemeClr>
          </a:lnRef>
          <a:fillRef xmlns:a="http://schemas.openxmlformats.org/drawingml/2006/main" idx="1">
            <a:schemeClr val="accent1"/>
          </a:fillRef>
          <a:effectRef xmlns:a="http://schemas.openxmlformats.org/drawingml/2006/main" idx="0">
            <a:schemeClr val="accent1"/>
          </a:effectRef>
          <a:fontRef xmlns:a="http://schemas.openxmlformats.org/drawingml/2006/main" idx="minor">
            <a:schemeClr val="lt1"/>
          </a:fontRef>
        </cdr:style>
        <cdr:txBody>
          <a:bodyPr xmlns:a="http://schemas.openxmlformats.org/drawingml/2006/main"/>
          <a:lstStyle xmlns:a="http://schemas.openxmlformats.org/drawingml/2006/main">
            <a:lvl1pPr marL="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1pPr>
            <a:lvl2pPr marL="457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2pPr>
            <a:lvl3pPr marL="914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3pPr>
            <a:lvl4pPr marL="1371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4pPr>
            <a:lvl5pPr marL="18288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5pPr>
            <a:lvl6pPr marL="22860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6pPr>
            <a:lvl7pPr marL="27432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7pPr>
            <a:lvl8pPr marL="32004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8pPr>
            <a:lvl9pPr marL="3657600" indent="0">
              <a:defRPr sz="1100">
                <a:solidFill>
                  <a:schemeClr val="lt1"/>
                </a:solidFill>
                <a:latin typeface="+mn-lt"/>
                <a:ea typeface="+mn-ea"/>
                <a:cs typeface="+mn-cs"/>
              </a:defRPr>
            </a:lvl9pPr>
          </a:lstStyle>
          <a:p xmlns:a="http://schemas.openxmlformats.org/drawingml/2006/main">
            <a:endParaRPr lang="en-CA"/>
          </a:p>
        </cdr:txBody>
      </cdr:sp>
    </cdr:grp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11</xdr:row>
      <xdr:rowOff>0</xdr:rowOff>
    </xdr:from>
    <xdr:to>
      <xdr:col>15</xdr:col>
      <xdr:colOff>836083</xdr:colOff>
      <xdr:row>19</xdr:row>
      <xdr:rowOff>158750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/>
      </xdr:nvSpPr>
      <xdr:spPr>
        <a:xfrm>
          <a:off x="0" y="2106083"/>
          <a:ext cx="16922750" cy="1682750"/>
        </a:xfrm>
        <a:prstGeom prst="rect">
          <a:avLst/>
        </a:prstGeom>
        <a:solidFill>
          <a:schemeClr val="tx2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sz="1800">
              <a:solidFill>
                <a:srgbClr val="FF0000"/>
              </a:solidFill>
            </a:rPr>
            <a:t>Not currently being</a:t>
          </a:r>
          <a:r>
            <a:rPr lang="en-US" sz="1800" baseline="0">
              <a:solidFill>
                <a:srgbClr val="FF0000"/>
              </a:solidFill>
            </a:rPr>
            <a:t> used. But please do not delete. Corresponding graph and output tabs are hiddin. </a:t>
          </a:r>
          <a:endParaRPr lang="en-US" sz="1800">
            <a:solidFill>
              <a:srgbClr val="FF0000"/>
            </a:solidFill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rha08/chapters/Ch%2003%20Population%20Health%20Status%20&amp;%20Mortality/rha08_ch3_pmr_%20rates_jun24_09ab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l-rha "/>
      <sheetName val="districts "/>
      <sheetName val="wpg nbhd clus"/>
      <sheetName val="wpg comm areas "/>
      <sheetName val="crude rate table"/>
      <sheetName val="rha graph data"/>
      <sheetName val="district graph data"/>
      <sheetName val="orig. data"/>
      <sheetName val="agg rha "/>
      <sheetName val="income graph"/>
      <sheetName val="ordered inc data"/>
      <sheetName val="orig inc data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 refreshError="1"/>
      <sheetData sheetId="9" refreshError="1"/>
      <sheetData sheetId="10">
        <row r="3">
          <cell r="B3" t="str">
            <v>1996-2000</v>
          </cell>
        </row>
      </sheetData>
      <sheetData sheetId="11"/>
    </sheetDataSet>
  </externalBook>
</externalLink>
</file>

<file path=xl/theme/theme1.xml><?xml version="1.0" encoding="utf-8"?>
<a:theme xmlns:a="http://schemas.openxmlformats.org/drawingml/2006/main" name="MCHP">
  <a:themeElements>
    <a:clrScheme name="MCHP">
      <a:dk1>
        <a:srgbClr val="262626"/>
      </a:dk1>
      <a:lt1>
        <a:sysClr val="window" lastClr="FFFFFF"/>
      </a:lt1>
      <a:dk2>
        <a:srgbClr val="C2E6E4"/>
      </a:dk2>
      <a:lt2>
        <a:srgbClr val="9CC5CA"/>
      </a:lt2>
      <a:accent1>
        <a:srgbClr val="7ACDCD"/>
      </a:accent1>
      <a:accent2>
        <a:srgbClr val="73AFB7"/>
      </a:accent2>
      <a:accent3>
        <a:srgbClr val="00A887"/>
      </a:accent3>
      <a:accent4>
        <a:srgbClr val="00857D"/>
      </a:accent4>
      <a:accent5>
        <a:srgbClr val="005151"/>
      </a:accent5>
      <a:accent6>
        <a:srgbClr val="08272D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9.9978637043366805E-2"/>
  </sheetPr>
  <dimension ref="A1:P28"/>
  <sheetViews>
    <sheetView showGridLines="0" tabSelected="1" workbookViewId="0">
      <selection activeCell="D16" sqref="D16"/>
    </sheetView>
  </sheetViews>
  <sheetFormatPr defaultColWidth="10.6640625" defaultRowHeight="13.2" x14ac:dyDescent="0.3"/>
  <cols>
    <col min="1" max="1" width="1.44140625" style="5" customWidth="1"/>
    <col min="2" max="2" width="28.44140625" style="5" customWidth="1"/>
    <col min="3" max="3" width="12.6640625" style="9" customWidth="1"/>
    <col min="4" max="4" width="12.6640625" style="5" customWidth="1"/>
    <col min="5" max="5" width="12.6640625" style="9" customWidth="1"/>
    <col min="6" max="10" width="12.6640625" style="5" customWidth="1"/>
    <col min="11" max="11" width="1.88671875" style="5" customWidth="1"/>
    <col min="12" max="12" width="20.88671875" style="5" customWidth="1"/>
    <col min="13" max="14" width="12.6640625" style="5" customWidth="1"/>
    <col min="15" max="16384" width="10.6640625" style="5"/>
  </cols>
  <sheetData>
    <row r="1" spans="1:16" x14ac:dyDescent="0.3">
      <c r="B1" s="3" t="s">
        <v>223</v>
      </c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6" x14ac:dyDescent="0.3">
      <c r="B2" s="6" t="s">
        <v>224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16" x14ac:dyDescent="0.3">
      <c r="B3" s="13"/>
      <c r="C3" s="14"/>
      <c r="D3" s="14"/>
      <c r="E3" s="14"/>
      <c r="F3" s="14"/>
      <c r="G3" s="14"/>
      <c r="H3" s="14"/>
      <c r="I3" s="14"/>
      <c r="J3" s="14"/>
      <c r="K3" s="4"/>
      <c r="L3" s="4"/>
      <c r="M3" s="4"/>
      <c r="N3" s="4"/>
    </row>
    <row r="4" spans="1:16" s="8" customFormat="1" ht="24.75" customHeight="1" x14ac:dyDescent="0.3">
      <c r="A4" s="19"/>
      <c r="B4" s="93" t="s">
        <v>108</v>
      </c>
      <c r="C4" s="12" t="s">
        <v>109</v>
      </c>
      <c r="D4" s="12" t="s">
        <v>110</v>
      </c>
      <c r="E4" s="12" t="s">
        <v>109</v>
      </c>
      <c r="F4" s="38" t="s">
        <v>110</v>
      </c>
      <c r="G4" s="12" t="s">
        <v>109</v>
      </c>
      <c r="H4" s="38" t="s">
        <v>110</v>
      </c>
      <c r="I4" s="12" t="s">
        <v>109</v>
      </c>
      <c r="J4" s="17" t="s">
        <v>110</v>
      </c>
      <c r="K4" s="10"/>
      <c r="O4" s="7"/>
      <c r="P4" s="7"/>
    </row>
    <row r="5" spans="1:16" s="8" customFormat="1" ht="13.95" customHeight="1" x14ac:dyDescent="0.3">
      <c r="A5" s="19"/>
      <c r="B5" s="94"/>
      <c r="C5" s="91" t="s">
        <v>50</v>
      </c>
      <c r="D5" s="91"/>
      <c r="E5" s="91" t="s">
        <v>52</v>
      </c>
      <c r="F5" s="91"/>
      <c r="G5" s="91" t="s">
        <v>76</v>
      </c>
      <c r="H5" s="91"/>
      <c r="I5" s="91" t="s">
        <v>57</v>
      </c>
      <c r="J5" s="92"/>
      <c r="K5" s="10"/>
      <c r="O5" s="7"/>
      <c r="P5" s="7"/>
    </row>
    <row r="6" spans="1:16" s="7" customFormat="1" ht="13.5" customHeight="1" x14ac:dyDescent="0.3">
      <c r="B6" s="69" t="s">
        <v>77</v>
      </c>
      <c r="C6" s="79">
        <f>IF(Data_Sheet!M4="s", "s", Data_Sheet!Z4)</f>
        <v>12</v>
      </c>
      <c r="D6" s="66">
        <f>IF(Data_Sheet!M4="s", "s", Data_Sheet!R4)</f>
        <v>10.517090272000001</v>
      </c>
      <c r="E6" s="79" t="str">
        <f>IF(Data_Sheet!N4="s", "s", Data_Sheet!AA4)</f>
        <v>s</v>
      </c>
      <c r="F6" s="66" t="str">
        <f>IF(Data_Sheet!N4="s", "s", Data_Sheet!S4)</f>
        <v>s</v>
      </c>
      <c r="G6" s="79">
        <f>IF(Data_Sheet!O4="s", "s", Data_Sheet!AB4)</f>
        <v>13</v>
      </c>
      <c r="H6" s="66">
        <f>IF(Data_Sheet!O4="s", "s", Data_Sheet!T4)</f>
        <v>8.4033613445000004</v>
      </c>
      <c r="I6" s="79">
        <f>IF(Data_Sheet!P4="s", "s", Data_Sheet!AC4)</f>
        <v>44</v>
      </c>
      <c r="J6" s="66">
        <f>IF(Data_Sheet!P4="s", "s", Data_Sheet!U4)</f>
        <v>3.3737156877999999</v>
      </c>
      <c r="K6" s="10"/>
    </row>
    <row r="7" spans="1:16" s="7" customFormat="1" ht="13.5" customHeight="1" x14ac:dyDescent="0.3">
      <c r="B7" s="70" t="s">
        <v>78</v>
      </c>
      <c r="C7" s="80" t="s">
        <v>101</v>
      </c>
      <c r="D7" s="57" t="s">
        <v>101</v>
      </c>
      <c r="E7" s="80">
        <f>IF(Data_Sheet!N5="s", "s", Data_Sheet!AA5)</f>
        <v>16</v>
      </c>
      <c r="F7" s="57">
        <f>IF(Data_Sheet!N5="s", "s", Data_Sheet!S5)</f>
        <v>4.2194092827</v>
      </c>
      <c r="G7" s="80">
        <f>IF(Data_Sheet!O5="s", "s", Data_Sheet!AB5)</f>
        <v>16</v>
      </c>
      <c r="H7" s="57">
        <f>IF(Data_Sheet!O5="s", "s", Data_Sheet!T5)</f>
        <v>4.2194092827</v>
      </c>
      <c r="I7" s="80">
        <f>IF(Data_Sheet!P5="s", "s", Data_Sheet!AC5)</f>
        <v>140</v>
      </c>
      <c r="J7" s="57">
        <f>IF(Data_Sheet!P5="s", "s", Data_Sheet!U5)</f>
        <v>4.0702407256999997</v>
      </c>
      <c r="K7" s="10"/>
    </row>
    <row r="8" spans="1:16" s="7" customFormat="1" ht="13.5" customHeight="1" x14ac:dyDescent="0.3">
      <c r="B8" s="71" t="s">
        <v>49</v>
      </c>
      <c r="C8" s="79">
        <f>IF(Data_Sheet!M6="s", "s", Data_Sheet!Z6)</f>
        <v>12</v>
      </c>
      <c r="D8" s="66">
        <f>IF(Data_Sheet!M6="s", "s", Data_Sheet!R6)</f>
        <v>10.781671159</v>
      </c>
      <c r="E8" s="79" t="str">
        <f>IF(Data_Sheet!N6="s", "s", Data_Sheet!AA6)</f>
        <v>s</v>
      </c>
      <c r="F8" s="66" t="str">
        <f>IF(Data_Sheet!N6="s", "s", Data_Sheet!S6)</f>
        <v>s</v>
      </c>
      <c r="G8" s="79">
        <f>IF(Data_Sheet!O6="s", "s", Data_Sheet!AB6)</f>
        <v>16</v>
      </c>
      <c r="H8" s="66">
        <f>IF(Data_Sheet!O6="s", "s", Data_Sheet!T6)</f>
        <v>8.4343700580000007</v>
      </c>
      <c r="I8" s="79">
        <f>IF(Data_Sheet!P6="s", "s", Data_Sheet!AC6)</f>
        <v>38</v>
      </c>
      <c r="J8" s="66">
        <f>IF(Data_Sheet!P6="s", "s", Data_Sheet!U6)</f>
        <v>4.4949136503</v>
      </c>
      <c r="K8" s="10"/>
    </row>
    <row r="9" spans="1:16" s="7" customFormat="1" ht="13.5" customHeight="1" x14ac:dyDescent="0.3">
      <c r="B9" s="70" t="s">
        <v>79</v>
      </c>
      <c r="C9" s="80">
        <f>IF(Data_Sheet!M7="s", "s", Data_Sheet!Z7)</f>
        <v>28</v>
      </c>
      <c r="D9" s="57">
        <f>IF(Data_Sheet!M7="s", "s", Data_Sheet!R7)</f>
        <v>10.439970172000001</v>
      </c>
      <c r="E9" s="80">
        <f>IF(Data_Sheet!N7="s", "s", Data_Sheet!AA7)</f>
        <v>0</v>
      </c>
      <c r="F9" s="57">
        <f>IF(Data_Sheet!N7="s", "s", Data_Sheet!S7)</f>
        <v>6.7678379000000002E-9</v>
      </c>
      <c r="G9" s="80">
        <f>IF(Data_Sheet!O7="s", "s", Data_Sheet!AB7)</f>
        <v>28</v>
      </c>
      <c r="H9" s="57">
        <f>IF(Data_Sheet!O7="s", "s", Data_Sheet!T7)</f>
        <v>9.1653027822999995</v>
      </c>
      <c r="I9" s="80">
        <f>IF(Data_Sheet!P7="s", "s", Data_Sheet!AC7)</f>
        <v>12</v>
      </c>
      <c r="J9" s="57">
        <f>IF(Data_Sheet!P7="s", "s", Data_Sheet!U7)</f>
        <v>2.5231286796000001</v>
      </c>
      <c r="K9" s="10"/>
    </row>
    <row r="10" spans="1:16" s="7" customFormat="1" ht="13.5" customHeight="1" x14ac:dyDescent="0.3">
      <c r="B10" s="71" t="s">
        <v>80</v>
      </c>
      <c r="C10" s="79">
        <f>IF(Data_Sheet!M8="s", "s", Data_Sheet!Z8)</f>
        <v>47</v>
      </c>
      <c r="D10" s="66">
        <f>IF(Data_Sheet!M8="s", "s", Data_Sheet!R8)</f>
        <v>7.4202715503999999</v>
      </c>
      <c r="E10" s="79">
        <f>IF(Data_Sheet!N8="s", "s", Data_Sheet!AA8)</f>
        <v>17</v>
      </c>
      <c r="F10" s="66">
        <f>IF(Data_Sheet!N8="s", "s", Data_Sheet!S8)</f>
        <v>15.858208955</v>
      </c>
      <c r="G10" s="79">
        <f>IF(Data_Sheet!O8="s", "s", Data_Sheet!AB8)</f>
        <v>64</v>
      </c>
      <c r="H10" s="66">
        <f>IF(Data_Sheet!O8="s", "s", Data_Sheet!T8)</f>
        <v>8.6416419120000008</v>
      </c>
      <c r="I10" s="79">
        <f>IF(Data_Sheet!P8="s", "s", Data_Sheet!AC8)</f>
        <v>9</v>
      </c>
      <c r="J10" s="66">
        <f>IF(Data_Sheet!P8="s", "s", Data_Sheet!U8)</f>
        <v>6.1983471074000001</v>
      </c>
      <c r="K10" s="10"/>
    </row>
    <row r="11" spans="1:16" s="7" customFormat="1" ht="13.5" customHeight="1" x14ac:dyDescent="0.3">
      <c r="B11" s="72" t="s">
        <v>0</v>
      </c>
      <c r="C11" s="84">
        <f>IF(Data_Sheet!M9="s", "s", Data_Sheet!Z9)</f>
        <v>99</v>
      </c>
      <c r="D11" s="87">
        <f>IF(Data_Sheet!M9="s", "s", Data_Sheet!R9)</f>
        <v>8.7843833184999998</v>
      </c>
      <c r="E11" s="84">
        <f>IF(Data_Sheet!N9="s", "s", Data_Sheet!AA9)</f>
        <v>38</v>
      </c>
      <c r="F11" s="87">
        <f>IF(Data_Sheet!N9="s", "s", Data_Sheet!S9)</f>
        <v>5.8969584108999999</v>
      </c>
      <c r="G11" s="84">
        <f>IF(Data_Sheet!O9="s", "s", Data_Sheet!AB9)</f>
        <v>137</v>
      </c>
      <c r="H11" s="87">
        <f>IF(Data_Sheet!O9="s", "s", Data_Sheet!T9)</f>
        <v>7.7339957096000003</v>
      </c>
      <c r="I11" s="84">
        <f>IF(Data_Sheet!P9="s", "s", Data_Sheet!AC9)</f>
        <v>244</v>
      </c>
      <c r="J11" s="87">
        <f>IF(Data_Sheet!P9="s", "s", Data_Sheet!U9)</f>
        <v>3.9254170756</v>
      </c>
      <c r="K11" s="36"/>
    </row>
    <row r="12" spans="1:16" s="8" customFormat="1" ht="13.5" customHeight="1" x14ac:dyDescent="0.3">
      <c r="B12" s="15"/>
      <c r="C12" s="15"/>
      <c r="D12" s="15"/>
      <c r="E12"/>
      <c r="F12"/>
      <c r="G12"/>
      <c r="H12"/>
      <c r="I12"/>
      <c r="J12"/>
      <c r="K12" s="10"/>
      <c r="O12" s="7"/>
      <c r="P12" s="7"/>
    </row>
    <row r="13" spans="1:16" ht="24.75" customHeight="1" x14ac:dyDescent="0.3">
      <c r="A13" s="18"/>
      <c r="B13" s="95" t="s">
        <v>107</v>
      </c>
      <c r="C13" s="51" t="s">
        <v>109</v>
      </c>
      <c r="D13" s="51" t="s">
        <v>110</v>
      </c>
      <c r="E13" s="56" t="s">
        <v>109</v>
      </c>
      <c r="F13" s="52" t="s">
        <v>110</v>
      </c>
      <c r="G13" s="11"/>
      <c r="H13" s="11"/>
      <c r="I13" s="11"/>
      <c r="J13" s="11"/>
      <c r="K13" s="11"/>
    </row>
    <row r="14" spans="1:16" ht="13.5" customHeight="1" x14ac:dyDescent="0.3">
      <c r="A14" s="18"/>
      <c r="B14" s="96"/>
      <c r="C14" s="91" t="s">
        <v>50</v>
      </c>
      <c r="D14" s="97"/>
      <c r="E14" s="91" t="s">
        <v>52</v>
      </c>
      <c r="F14" s="92"/>
      <c r="G14" s="11"/>
      <c r="H14" s="11"/>
      <c r="I14" s="11"/>
      <c r="J14" s="11"/>
      <c r="K14" s="11"/>
    </row>
    <row r="15" spans="1:16" ht="13.5" customHeight="1" x14ac:dyDescent="0.3">
      <c r="A15" s="18"/>
      <c r="B15" s="68" t="str">
        <f>Data_Sheet!D35</f>
        <v>Interlake Reserves (IRTC)</v>
      </c>
      <c r="C15" s="79" t="str">
        <f>IF(Data_Sheet!J24="s", "s", Data_Sheet!M24)</f>
        <v>s</v>
      </c>
      <c r="D15" s="66" t="s">
        <v>172</v>
      </c>
      <c r="E15" s="79" t="str">
        <f>IF(Data_Sheet!J35="s","s", Data_Sheet!M35)</f>
        <v>s</v>
      </c>
      <c r="F15" s="66" t="str">
        <f>IF(Data_Sheet!J35="s", "s", Data_Sheet!K35)</f>
        <v>s</v>
      </c>
      <c r="G15" s="11"/>
      <c r="H15" s="11"/>
      <c r="I15" s="11"/>
      <c r="J15" s="11"/>
      <c r="K15" s="11"/>
    </row>
    <row r="16" spans="1:16" ht="13.5" customHeight="1" x14ac:dyDescent="0.3">
      <c r="A16" s="18"/>
      <c r="B16" s="67" t="str">
        <f>Data_Sheet!D36</f>
        <v>West Region (WRTC)</v>
      </c>
      <c r="C16" s="80">
        <f>IF(Data_Sheet!J25="s", "s", Data_Sheet!M25)</f>
        <v>8</v>
      </c>
      <c r="D16" s="57">
        <f>IF(Data_Sheet!J25="s", "s", Data_Sheet!K25)</f>
        <v>12.102874433</v>
      </c>
      <c r="E16" s="80" t="str">
        <f>IF(Data_Sheet!J36="s","s", Data_Sheet!M36)</f>
        <v>s</v>
      </c>
      <c r="F16" s="57" t="str">
        <f>IF(Data_Sheet!J36="s", "s", Data_Sheet!K36)</f>
        <v>s</v>
      </c>
      <c r="G16" s="11"/>
      <c r="H16" s="11"/>
      <c r="I16" s="11"/>
      <c r="J16" s="11"/>
      <c r="K16" s="11"/>
    </row>
    <row r="17" spans="1:11" ht="13.5" customHeight="1" x14ac:dyDescent="0.3">
      <c r="A17" s="18"/>
      <c r="B17" s="68" t="str">
        <f>Data_Sheet!D37</f>
        <v>Independent-North</v>
      </c>
      <c r="C17" s="79">
        <f>IF(Data_Sheet!J26="s", "s", Data_Sheet!M26)</f>
        <v>15</v>
      </c>
      <c r="D17" s="66">
        <f>IF(Data_Sheet!J26="s", "s", Data_Sheet!K26)</f>
        <v>6.3237774030000002</v>
      </c>
      <c r="E17" s="79">
        <f>IF(Data_Sheet!J37="s","s", Data_Sheet!M37)</f>
        <v>9</v>
      </c>
      <c r="F17" s="66">
        <f>IF(Data_Sheet!J37="s", "s", Data_Sheet!K37)</f>
        <v>9.2783505154999997</v>
      </c>
      <c r="G17" s="11"/>
      <c r="H17" s="11"/>
      <c r="I17" s="11"/>
      <c r="J17" s="11"/>
      <c r="K17" s="11"/>
    </row>
    <row r="18" spans="1:11" ht="13.5" customHeight="1" x14ac:dyDescent="0.3">
      <c r="A18" s="18"/>
      <c r="B18" s="67" t="str">
        <f>Data_Sheet!D38</f>
        <v>Swampy Cree (SCTC)</v>
      </c>
      <c r="C18" s="80">
        <f>IF(Data_Sheet!J27="s", "s", Data_Sheet!M27)</f>
        <v>6</v>
      </c>
      <c r="D18" s="57">
        <f>IF(Data_Sheet!J27="s", "s", Data_Sheet!K27)</f>
        <v>5.3811659192999999</v>
      </c>
      <c r="E18" s="80">
        <f>IF(Data_Sheet!J38="s","s", Data_Sheet!M38)</f>
        <v>9</v>
      </c>
      <c r="F18" s="57">
        <f>IF(Data_Sheet!J38="s", "s", Data_Sheet!K38)</f>
        <v>18.595041322</v>
      </c>
      <c r="G18" s="11"/>
      <c r="H18" s="11"/>
      <c r="I18" s="11"/>
      <c r="J18" s="11"/>
      <c r="K18" s="11"/>
    </row>
    <row r="19" spans="1:11" ht="13.5" customHeight="1" x14ac:dyDescent="0.3">
      <c r="A19" s="18"/>
      <c r="B19" s="68" t="str">
        <f>Data_Sheet!D39</f>
        <v>Keewatin (KTC)</v>
      </c>
      <c r="C19" s="79">
        <f>IF(Data_Sheet!J28="s", "s", Data_Sheet!M28)</f>
        <v>10</v>
      </c>
      <c r="D19" s="66">
        <f>IF(Data_Sheet!J28="s", "s", Data_Sheet!K28)</f>
        <v>6.6312997346999998</v>
      </c>
      <c r="E19" s="79" t="str">
        <f>IF(Data_Sheet!J39="s","s", Data_Sheet!M39)</f>
        <v>s</v>
      </c>
      <c r="F19" s="66" t="str">
        <f>IF(Data_Sheet!J39="s", "s", Data_Sheet!K39)</f>
        <v>s</v>
      </c>
      <c r="G19" s="11"/>
      <c r="H19" s="11"/>
      <c r="I19" s="11"/>
      <c r="J19" s="11"/>
      <c r="K19" s="11"/>
    </row>
    <row r="20" spans="1:11" ht="13.5" customHeight="1" x14ac:dyDescent="0.3">
      <c r="A20" s="18"/>
      <c r="B20" s="67" t="str">
        <f>Data_Sheet!D40</f>
        <v>Independent-South</v>
      </c>
      <c r="C20" s="80">
        <f>IF(Data_Sheet!J29="s", "s", Data_Sheet!M29)</f>
        <v>14</v>
      </c>
      <c r="D20" s="57">
        <f>IF(Data_Sheet!J29="s", "s", Data_Sheet!K29)</f>
        <v>8.8945362135000003</v>
      </c>
      <c r="E20" s="80" t="str">
        <f>IF(Data_Sheet!J40="s","s", Data_Sheet!M40)</f>
        <v>s</v>
      </c>
      <c r="F20" s="57" t="str">
        <f>IF(Data_Sheet!J40="s", "s", Data_Sheet!K40)</f>
        <v>s</v>
      </c>
      <c r="G20" s="11"/>
      <c r="H20" s="11"/>
      <c r="I20" s="11"/>
      <c r="J20" s="11"/>
      <c r="K20" s="11"/>
    </row>
    <row r="21" spans="1:11" ht="13.5" customHeight="1" x14ac:dyDescent="0.3">
      <c r="A21" s="18"/>
      <c r="B21" s="68" t="str">
        <f>Data_Sheet!D41</f>
        <v>Dakota Ojibway TC (DOTC)</v>
      </c>
      <c r="C21" s="79">
        <f>IF(Data_Sheet!J30="s", "s", Data_Sheet!M30)</f>
        <v>8</v>
      </c>
      <c r="D21" s="66">
        <f>IF(Data_Sheet!J30="s", "s", Data_Sheet!K30)</f>
        <v>10.282776350000001</v>
      </c>
      <c r="E21" s="79" t="str">
        <f>IF(Data_Sheet!J41="s","s", Data_Sheet!M41)</f>
        <v>s</v>
      </c>
      <c r="F21" s="66" t="str">
        <f>IF(Data_Sheet!J41="s", "s", Data_Sheet!K41)</f>
        <v>s</v>
      </c>
      <c r="G21" s="11"/>
      <c r="H21" s="11"/>
      <c r="I21" s="11"/>
      <c r="J21" s="11"/>
      <c r="K21" s="11"/>
    </row>
    <row r="22" spans="1:11" ht="13.5" customHeight="1" x14ac:dyDescent="0.3">
      <c r="A22" s="18"/>
      <c r="B22" s="67" t="str">
        <f>Data_Sheet!D42</f>
        <v>Southeast (SERDC)</v>
      </c>
      <c r="C22" s="80">
        <f>IF(Data_Sheet!J31="s", "s", Data_Sheet!M31)</f>
        <v>12</v>
      </c>
      <c r="D22" s="57">
        <f>IF(Data_Sheet!J31="s", "s", Data_Sheet!K31)</f>
        <v>13.84083045</v>
      </c>
      <c r="E22" s="80" t="str">
        <f>IF(Data_Sheet!J42="s","s", Data_Sheet!M42)</f>
        <v>s</v>
      </c>
      <c r="F22" s="57" t="str">
        <f>IF(Data_Sheet!J42="s", "s", Data_Sheet!K42)</f>
        <v>s</v>
      </c>
      <c r="G22" s="11"/>
      <c r="H22" s="11"/>
      <c r="I22" s="11"/>
      <c r="J22" s="11"/>
      <c r="K22" s="11"/>
    </row>
    <row r="23" spans="1:11" ht="13.5" customHeight="1" x14ac:dyDescent="0.3">
      <c r="A23" s="18"/>
      <c r="B23" s="68" t="str">
        <f>Data_Sheet!D43</f>
        <v>Island Lake (ILTC)</v>
      </c>
      <c r="C23" s="79">
        <f>IF(Data_Sheet!J32="s", "s", Data_Sheet!M32)</f>
        <v>17</v>
      </c>
      <c r="D23" s="66">
        <f>IF(Data_Sheet!J32="s", "s", Data_Sheet!K32)</f>
        <v>11.386470193999999</v>
      </c>
      <c r="E23" s="79">
        <f>IF(Data_Sheet!J43="s","s", Data_Sheet!M43)</f>
        <v>0</v>
      </c>
      <c r="F23" s="66">
        <f>IF(Data_Sheet!J43="s", "s", Data_Sheet!K43)</f>
        <v>2.0274255000000001E-9</v>
      </c>
      <c r="G23" s="11"/>
      <c r="H23" s="11"/>
      <c r="I23" s="11"/>
      <c r="J23" s="11"/>
      <c r="K23" s="11"/>
    </row>
    <row r="24" spans="1:11" ht="13.5" customHeight="1" x14ac:dyDescent="0.3">
      <c r="A24" s="18"/>
      <c r="B24" s="67" t="str">
        <f>Data_Sheet!D44</f>
        <v>Non-affiliated</v>
      </c>
      <c r="C24" s="81" t="str">
        <f>IF(Data_Sheet!J33="s", "s", Data_Sheet!M33)</f>
        <v>s</v>
      </c>
      <c r="D24" s="82" t="str">
        <f>IF(Data_Sheet!J33="s", "s", Data_Sheet!K33)</f>
        <v>s</v>
      </c>
      <c r="E24" s="81">
        <f>IF(Data_Sheet!J44="s","s", Data_Sheet!M44)</f>
        <v>0</v>
      </c>
      <c r="F24" s="82">
        <f>IF(Data_Sheet!J44="s", "s", Data_Sheet!K44)</f>
        <v>8.4250665000000007E-9</v>
      </c>
      <c r="G24" s="11"/>
      <c r="H24" s="11"/>
      <c r="I24" s="11"/>
      <c r="J24" s="11"/>
      <c r="K24" s="11"/>
    </row>
    <row r="25" spans="1:11" ht="13.5" customHeight="1" x14ac:dyDescent="0.3">
      <c r="A25" s="18"/>
      <c r="B25" s="46" t="s">
        <v>133</v>
      </c>
      <c r="C25" s="86">
        <f>IF(Data_Sheet!J34="s", "s", Data_Sheet!M34)</f>
        <v>99</v>
      </c>
      <c r="D25" s="85">
        <f>IF(Data_Sheet!J34="s", "s", Data_Sheet!K34)</f>
        <v>8.7843833184999998</v>
      </c>
      <c r="E25" s="84">
        <f>IF(Data_Sheet!J45="s","s", Data_Sheet!M45)</f>
        <v>35</v>
      </c>
      <c r="F25" s="87">
        <f>IF(Data_Sheet!J45="s", "s", Data_Sheet!K45)</f>
        <v>5.8381984986999997</v>
      </c>
      <c r="G25" s="11"/>
      <c r="H25" s="11"/>
      <c r="I25" s="11"/>
      <c r="J25" s="11"/>
      <c r="K25" s="11"/>
    </row>
    <row r="26" spans="1:11" x14ac:dyDescent="0.3">
      <c r="A26" s="11"/>
      <c r="B26" s="47"/>
      <c r="C26" s="44"/>
      <c r="D26" s="45"/>
      <c r="E26" s="83"/>
      <c r="F26" s="43"/>
      <c r="G26" s="11"/>
      <c r="H26" s="11"/>
      <c r="I26" s="11"/>
      <c r="J26" s="11"/>
      <c r="K26" s="11"/>
    </row>
    <row r="27" spans="1:11" ht="14.4" x14ac:dyDescent="0.3">
      <c r="B27" s="20" t="s">
        <v>106</v>
      </c>
      <c r="E27"/>
      <c r="F27"/>
      <c r="G27"/>
    </row>
    <row r="28" spans="1:11" x14ac:dyDescent="0.3">
      <c r="B28" s="5" t="s">
        <v>102</v>
      </c>
    </row>
  </sheetData>
  <mergeCells count="8">
    <mergeCell ref="E14:F14"/>
    <mergeCell ref="E5:F5"/>
    <mergeCell ref="I5:J5"/>
    <mergeCell ref="B4:B5"/>
    <mergeCell ref="G5:H5"/>
    <mergeCell ref="C5:D5"/>
    <mergeCell ref="B13:B14"/>
    <mergeCell ref="C14:D14"/>
  </mergeCells>
  <pageMargins left="0.7" right="0.7" top="0.75" bottom="0.75" header="0.3" footer="0.3"/>
  <pageSetup scale="8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B1:G45"/>
  <sheetViews>
    <sheetView zoomScale="80" zoomScaleNormal="80" workbookViewId="0">
      <selection activeCell="D10" sqref="D10"/>
    </sheetView>
  </sheetViews>
  <sheetFormatPr defaultRowHeight="14.4" x14ac:dyDescent="0.3"/>
  <cols>
    <col min="2" max="2" width="24" bestFit="1" customWidth="1"/>
    <col min="3" max="3" width="18.109375" bestFit="1" customWidth="1"/>
    <col min="4" max="4" width="158" style="2" customWidth="1"/>
  </cols>
  <sheetData>
    <row r="1" spans="2:4" s="2" customFormat="1" ht="15" thickBot="1" x14ac:dyDescent="0.35">
      <c r="B1" s="26" t="s">
        <v>83</v>
      </c>
    </row>
    <row r="2" spans="2:4" x14ac:dyDescent="0.3">
      <c r="B2" s="21"/>
      <c r="C2" s="40" t="s">
        <v>63</v>
      </c>
      <c r="D2" s="41" t="s">
        <v>84</v>
      </c>
    </row>
    <row r="3" spans="2:4" x14ac:dyDescent="0.3">
      <c r="B3" s="22" t="str">
        <f>orig_rha!$AL$4</f>
        <v>FN_ON_sign</v>
      </c>
      <c r="C3" s="23">
        <f>COUNTIF(orig_rha!$AL$5:$AQ$10, "c")</f>
        <v>0</v>
      </c>
      <c r="D3" s="24" t="str">
        <f>IF(C3&gt;0, "1 - The difference between this area's First Nations On-Reserve rate and the average First Nations On-Reserve rate was statistically significant (p&lt;0.01).","")</f>
        <v/>
      </c>
    </row>
    <row r="4" spans="2:4" x14ac:dyDescent="0.3">
      <c r="B4" s="22" t="str">
        <f>orig_rha!$AM$4</f>
        <v>FN_OFF_sign</v>
      </c>
      <c r="C4" s="23">
        <f>COUNTIF(orig_rha!$AL$5:$AQ$10, "d")</f>
        <v>0</v>
      </c>
      <c r="D4" s="24" t="str">
        <f>IF(C4&gt;0, "2 - The difference between this area's First Nations Off-Reserve rate and the average First Nations Off-Reserve rate was statistically significant (p&lt;0.01).","")</f>
        <v/>
      </c>
    </row>
    <row r="5" spans="2:4" x14ac:dyDescent="0.3">
      <c r="B5" s="22" t="str">
        <f>orig_rha!$AN$4</f>
        <v>FN_sign</v>
      </c>
      <c r="C5" s="23">
        <f>COUNTIF(orig_rha!$AL$5:$AQ$10, "e")</f>
        <v>0</v>
      </c>
      <c r="D5" s="24" t="str">
        <f>IF(C5&gt;0, "3 - The difference between this area's First Nations rate and the average First Nations rate was statistically significant (p&lt;0.01).","")</f>
        <v/>
      </c>
    </row>
    <row r="6" spans="2:4" x14ac:dyDescent="0.3">
      <c r="B6" s="22" t="str">
        <f>orig_rha!$AO$4</f>
        <v>AOMB_sign</v>
      </c>
      <c r="C6" s="23">
        <f>COUNTIF(orig_rha!$AL$5:$AQ$10, "f")</f>
        <v>0</v>
      </c>
      <c r="D6" s="24" t="str">
        <f>IF(C6&gt;0, "4 - The difference between this area's All Other Manitobans rate and the average All Other Manitobans rate was statistically significant (p&lt;0.01).","")</f>
        <v/>
      </c>
    </row>
    <row r="7" spans="2:4" x14ac:dyDescent="0.3">
      <c r="B7" s="22" t="str">
        <f>orig_rha!$AP$4</f>
        <v>FNvsAOMB_sign</v>
      </c>
      <c r="C7" s="23">
        <f>COUNTIF(orig_rha!$AL$5:$AQ$10, "b")</f>
        <v>0</v>
      </c>
      <c r="D7" s="24" t="str">
        <f>IF(C7&gt;0, "5 - The difference between this area's First Nations rate and this area’s All Other Manitobans rate was statistically significant (p&lt;0.01).","")</f>
        <v/>
      </c>
    </row>
    <row r="8" spans="2:4" x14ac:dyDescent="0.3">
      <c r="B8" s="22" t="str">
        <f>orig_rha!$AQ$4</f>
        <v>ONvsOFF_sign</v>
      </c>
      <c r="C8" s="23">
        <f>COUNTIF(orig_rha!$AL$5:$AQ$10, "a")</f>
        <v>0</v>
      </c>
      <c r="D8" s="24" t="str">
        <f>IF(C8&gt;0, "6 - The difference between this area's First Nations On-Reserve rate and this area’s First Nations Off-Reserve rate was statistically significant (p&lt;0.01).","")</f>
        <v/>
      </c>
    </row>
    <row r="9" spans="2:4" x14ac:dyDescent="0.3">
      <c r="B9" s="22" t="s">
        <v>66</v>
      </c>
      <c r="C9" s="23">
        <f>COUNTIF(Data_Sheet!$M$5:$P$10,"s")</f>
        <v>1</v>
      </c>
      <c r="D9" s="24" t="str">
        <f>IF(C9&gt;0,"s – Data suppressed due to small numbers","")</f>
        <v>s – Data suppressed due to small numbers</v>
      </c>
    </row>
    <row r="10" spans="2:4" ht="101.4" thickBot="1" x14ac:dyDescent="0.35">
      <c r="B10" s="98" t="s">
        <v>85</v>
      </c>
      <c r="C10" s="99"/>
      <c r="D10" s="27" t="str">
        <f>CONCATENATE(D3,CHAR(10),D4,CHAR(10),D5,CHAR(10),D6,CHAR(10),D7,CHAR(10),D8,CHAR(10),D9)</f>
        <v xml:space="preserve">
s – Data suppressed due to small numbers</v>
      </c>
    </row>
    <row r="12" spans="2:4" ht="15" hidden="1" thickBot="1" x14ac:dyDescent="0.35">
      <c r="B12" s="26" t="s">
        <v>87</v>
      </c>
    </row>
    <row r="13" spans="2:4" hidden="1" x14ac:dyDescent="0.3">
      <c r="B13" s="21"/>
      <c r="C13" s="40" t="s">
        <v>63</v>
      </c>
      <c r="D13" s="41" t="s">
        <v>84</v>
      </c>
    </row>
    <row r="14" spans="2:4" s="2" customFormat="1" hidden="1" x14ac:dyDescent="0.3">
      <c r="B14" s="22" t="e">
        <f>#REF!</f>
        <v>#REF!</v>
      </c>
      <c r="C14" s="23" t="e">
        <f>COUNTIF(#REF!,"b")</f>
        <v>#REF!</v>
      </c>
      <c r="D14" s="24" t="e">
        <f>IF(C14&gt;0,"† - The difference between this area’s rate and the lowest/highest First Nations On-Reserve rate (Treaty Area X) was statistically significant (p&lt;0.01).","")</f>
        <v>#REF!</v>
      </c>
    </row>
    <row r="15" spans="2:4" s="2" customFormat="1" hidden="1" x14ac:dyDescent="0.3">
      <c r="B15" s="22" t="e">
        <f>#REF!</f>
        <v>#REF!</v>
      </c>
      <c r="C15" s="23" t="e">
        <f>COUNTIF(#REF!,"s")</f>
        <v>#REF!</v>
      </c>
      <c r="D15" s="24" t="e">
        <f>IF(C15&gt;0,"s – Data suppressed due to small numbers","")</f>
        <v>#REF!</v>
      </c>
    </row>
    <row r="16" spans="2:4" s="2" customFormat="1" ht="43.8" hidden="1" thickBot="1" x14ac:dyDescent="0.35">
      <c r="B16" s="98" t="s">
        <v>85</v>
      </c>
      <c r="C16" s="99"/>
      <c r="D16" s="25" t="e">
        <f>CONCATENATE(CHAR(10),D14,CHAR(10),D15)</f>
        <v>#REF!</v>
      </c>
    </row>
    <row r="17" spans="2:7" x14ac:dyDescent="0.3">
      <c r="B17" s="54"/>
      <c r="C17" s="54"/>
      <c r="D17" s="54"/>
      <c r="E17" s="55" t="s">
        <v>181</v>
      </c>
      <c r="F17" s="55"/>
      <c r="G17" s="55"/>
    </row>
    <row r="18" spans="2:7" ht="15" thickBot="1" x14ac:dyDescent="0.35">
      <c r="B18" s="26" t="s">
        <v>88</v>
      </c>
      <c r="C18" s="26" t="s">
        <v>205</v>
      </c>
    </row>
    <row r="19" spans="2:7" x14ac:dyDescent="0.3">
      <c r="B19" s="21"/>
      <c r="C19" s="40" t="s">
        <v>63</v>
      </c>
      <c r="D19" s="41" t="s">
        <v>86</v>
      </c>
    </row>
    <row r="20" spans="2:7" s="2" customFormat="1" x14ac:dyDescent="0.3">
      <c r="B20" s="22" t="str">
        <f>orig_tribal!K4</f>
        <v>bm_tribal</v>
      </c>
      <c r="C20" s="64">
        <f>COUNTIF(orig_tribal!$K$5:$K$14,1)</f>
        <v>1</v>
      </c>
      <c r="D20" s="65"/>
    </row>
    <row r="21" spans="2:7" s="2" customFormat="1" x14ac:dyDescent="0.3">
      <c r="B21" s="22" t="str">
        <f>orig_tribal!K4</f>
        <v>bm_tribal</v>
      </c>
      <c r="C21" s="64">
        <f>COUNTIF(orig_tribal!$K$16:$K$25,1)</f>
        <v>1</v>
      </c>
      <c r="D21" s="65"/>
    </row>
    <row r="22" spans="2:7" s="2" customFormat="1" x14ac:dyDescent="0.3">
      <c r="B22" s="22" t="s">
        <v>206</v>
      </c>
      <c r="C22" s="23">
        <f>COUNTIF(orig_tribal!$U$5:$U$14,"b")</f>
        <v>0</v>
      </c>
      <c r="D22" s="24" t="str">
        <f>IF(C22&gt;0,"† - The difference between this area’s rate and the lowest/highest First Nations On-Reserve rate (Tribal Council) was statistically significant (p&lt;0.01).","")</f>
        <v/>
      </c>
    </row>
    <row r="23" spans="2:7" s="2" customFormat="1" x14ac:dyDescent="0.3">
      <c r="B23" s="22" t="s">
        <v>207</v>
      </c>
      <c r="C23" s="23">
        <f>COUNTIF(orig_tribal!$U$16:$U$25,"b")</f>
        <v>0</v>
      </c>
      <c r="D23" s="24" t="str">
        <f>IF(C23&gt;0,"‡ - The difference between this area’s rate and the lowest/highest First Nations Off-Reserve rate (Tribal Council) was statistically significant (p&lt;0.01).","")</f>
        <v/>
      </c>
    </row>
    <row r="24" spans="2:7" s="2" customFormat="1" x14ac:dyDescent="0.3">
      <c r="B24" s="22" t="str">
        <f>orig_tribal!V4</f>
        <v>tribal_ONvsOFF_sign</v>
      </c>
      <c r="C24" s="23">
        <f>COUNTIF(orig_tribal!$V$5:$V$14,"d")</f>
        <v>1</v>
      </c>
      <c r="D24" s="24" t="str">
        <f>IF(C24&gt;0,"§ - The difference between this area’s First Nations On-Reserve and Off-Reserve rate was statistically significant (p&lt;0.01).","")</f>
        <v>§ - The difference between this area’s First Nations On-Reserve and Off-Reserve rate was statistically significant (p&lt;0.01).</v>
      </c>
    </row>
    <row r="25" spans="2:7" x14ac:dyDescent="0.3">
      <c r="B25" s="42" t="str">
        <f>orig_tribal!Y4</f>
        <v>tribal_ONvsOFF_suppress</v>
      </c>
      <c r="C25" s="23">
        <f>COUNTIF(orig_tribal!$Y$5:$Y$25,"s")</f>
        <v>7</v>
      </c>
      <c r="D25" s="24" t="str">
        <f>IF(C25&gt;0,"s – Data suppressed due to small numbers","")</f>
        <v>s – Data suppressed due to small numbers</v>
      </c>
    </row>
    <row r="26" spans="2:7" ht="72.599999999999994" thickBot="1" x14ac:dyDescent="0.35">
      <c r="B26" s="98" t="s">
        <v>85</v>
      </c>
      <c r="C26" s="99"/>
      <c r="D26" s="25" t="str">
        <f>CONCATENATE(CHAR(10),D22,CHAR(10),D23,CHAR(10),D24,CHAR(10),D25)</f>
        <v xml:space="preserve">
§ - The difference between this area’s First Nations On-Reserve and Off-Reserve rate was statistically significant (p&lt;0.01).
s – Data suppressed due to small numbers</v>
      </c>
    </row>
    <row r="28" spans="2:7" ht="15" thickBot="1" x14ac:dyDescent="0.35">
      <c r="B28" s="26" t="s">
        <v>208</v>
      </c>
    </row>
    <row r="29" spans="2:7" x14ac:dyDescent="0.3">
      <c r="B29" s="21"/>
      <c r="C29" s="40" t="s">
        <v>63</v>
      </c>
      <c r="D29" s="41" t="s">
        <v>84</v>
      </c>
    </row>
    <row r="30" spans="2:7" x14ac:dyDescent="0.3">
      <c r="B30" s="22" t="str">
        <f>CONCATENATE(orig_income!$B$8," ",orig_income!$C$8," ",orig_income!$P$4)</f>
        <v>Urban Q1 FN_OFF_sign</v>
      </c>
      <c r="C30" s="23">
        <f>IF(orig_income!$P$8="o","1",0)</f>
        <v>0</v>
      </c>
      <c r="D30" s="24" t="str">
        <f>IF(C30&gt;0, "1 - The difference between the Urban Off-Reserve First Nations rate and the All Other Manitobans Lowest Urban rate was statistically significant (p&lt;0.01).","")</f>
        <v/>
      </c>
    </row>
    <row r="31" spans="2:7" x14ac:dyDescent="0.3">
      <c r="B31" s="22" t="str">
        <f>CONCATENATE(orig_income!$B$12," ",orig_income!$C$12," ",orig_income!$P$4)</f>
        <v>Urban Q5 FN_OFF_sign</v>
      </c>
      <c r="C31" s="23">
        <f>IF(orig_income!$P$12="o","2",0)</f>
        <v>0</v>
      </c>
      <c r="D31" s="24" t="str">
        <f>IF(C31&gt;0, "2 - The difference between the Urban Off-Reserve First Nations rate and the All Other Manitobans Highest Urban rate was statistically significant (p&lt;0.01).","")</f>
        <v/>
      </c>
    </row>
    <row r="32" spans="2:7" x14ac:dyDescent="0.3">
      <c r="B32" s="22" t="str">
        <f>CONCATENATE(orig_income!$B$13," ",orig_income!$C$13," ",orig_income!$O$4)</f>
        <v>Rural Q1 FN_ON_sign</v>
      </c>
      <c r="C32" s="23">
        <f>IF(orig_income!$O$13="r","3",0)</f>
        <v>0</v>
      </c>
      <c r="D32" s="24" t="str">
        <f>IF(C32&gt;0, "3 - The difference between the Rural On-Reserve First Nations rate and the All Other Manitobans Lowest Rural rate was statistically significant (p&lt;0.01).","")</f>
        <v/>
      </c>
    </row>
    <row r="33" spans="2:4" x14ac:dyDescent="0.3">
      <c r="B33" s="22" t="str">
        <f>CONCATENATE(orig_income!$B$17," ",orig_income!$C$17," ",orig_income!$O$4)</f>
        <v>Rural Q5 FN_ON_sign</v>
      </c>
      <c r="C33" s="23" t="str">
        <f>IF(orig_income!$O$17="r","4",0)</f>
        <v>4</v>
      </c>
      <c r="D33" s="24" t="str">
        <f>IF(C33&gt;0, "4 - The difference between the Rural On-Reserve First Nations rate and the All Other Manitobans Highest Rural rate was statistically significant (p&lt;0.01).","")</f>
        <v>4 - The difference between the Rural On-Reserve First Nations rate and the All Other Manitobans Highest Rural rate was statistically significant (p&lt;0.01).</v>
      </c>
    </row>
    <row r="34" spans="2:4" x14ac:dyDescent="0.3">
      <c r="B34" s="22" t="str">
        <f>CONCATENATE(orig_income!$B$13," ",orig_income!$C$13," ",orig_income!$P$4)</f>
        <v>Rural Q1 FN_OFF_sign</v>
      </c>
      <c r="C34" s="23">
        <f>IF(orig_income!$P$13="o","5",0)</f>
        <v>0</v>
      </c>
      <c r="D34" s="24" t="str">
        <f>IF(C34&gt;0, "5 - The difference between the Rural Off-Reserve First Nations rate and the All Other Manitobans Lowest Rural rate was statistically significant (p&lt;0.01).","")</f>
        <v/>
      </c>
    </row>
    <row r="35" spans="2:4" x14ac:dyDescent="0.3">
      <c r="B35" s="22" t="str">
        <f>CONCATENATE(orig_income!$B$17," ",orig_income!$C$17," ",orig_income!$P$4)</f>
        <v>Rural Q5 FN_OFF_sign</v>
      </c>
      <c r="C35" s="23" t="str">
        <f>IF(orig_income!$P$17="o","6",0)</f>
        <v>6</v>
      </c>
      <c r="D35" s="24" t="str">
        <f>IF(C35&gt;0, "6 - The difference between the Rural Off-Reserve First Nations rate and the All Other Manitobans Highest Rural rate was statistically significant (p&lt;0.01).","")</f>
        <v>6 - The difference between the Rural Off-Reserve First Nations rate and the All Other Manitobans Highest Rural rate was statistically significant (p&lt;0.01).</v>
      </c>
    </row>
    <row r="36" spans="2:4" x14ac:dyDescent="0.3">
      <c r="B36" s="22" t="s">
        <v>66</v>
      </c>
      <c r="C36" s="23">
        <f>IF(OR(orig_income!$Q$5="s",orig_income!$Q$6="s",orig_income!$Q$7="s",orig_income!$Q$8="s",orig_income!$Q$12="s",orig_income!$Q$13="s",orig_income!$Q$12="s",orig_income!$Q$17="s"),1,0)</f>
        <v>0</v>
      </c>
      <c r="D36" s="24" t="str">
        <f>IF(C36&gt;0,"s – Data suppressed due to small numbers","")</f>
        <v/>
      </c>
    </row>
    <row r="37" spans="2:4" ht="101.4" thickBot="1" x14ac:dyDescent="0.35">
      <c r="B37" s="98" t="s">
        <v>85</v>
      </c>
      <c r="C37" s="99"/>
      <c r="D37" s="27" t="str">
        <f>CONCATENATE(D30,CHAR(10),D31,CHAR(10),D32,CHAR(10),D33,CHAR(10),D34,CHAR(10),D35,CHAR(10),D36)</f>
        <v xml:space="preserve">
4 - The difference between the Rural On-Reserve First Nations rate and the All Other Manitobans Highest Rural rate was statistically significant (p&lt;0.01).
6 - The difference between the Rural Off-Reserve First Nations rate and the All Other Manitobans Highest Rural rate was statistically significant (p&lt;0.01).
</v>
      </c>
    </row>
    <row r="39" spans="2:4" s="2" customFormat="1" ht="15" thickBot="1" x14ac:dyDescent="0.35">
      <c r="B39" s="26" t="s">
        <v>209</v>
      </c>
    </row>
    <row r="40" spans="2:4" s="2" customFormat="1" x14ac:dyDescent="0.3">
      <c r="B40" s="21"/>
      <c r="C40" s="40" t="s">
        <v>63</v>
      </c>
      <c r="D40" s="41" t="s">
        <v>84</v>
      </c>
    </row>
    <row r="41" spans="2:4" s="2" customFormat="1" x14ac:dyDescent="0.3">
      <c r="B41" s="22" t="str">
        <f>CONCATENATE(orig_income!$B$8," ",orig_income!$C$8," ",orig_income!$P$4)</f>
        <v>Urban Q1 FN_OFF_sign</v>
      </c>
      <c r="C41" s="23">
        <f>IF(orig_income!$P$8="o","1",0)</f>
        <v>0</v>
      </c>
      <c r="D41" s="24" t="str">
        <f>IF(C41&gt;0, "1 - The difference between the Urban Off-Reserve First Nations rate and the All Other Manitobans Lowest Urban rate was statistically significant (p&lt;0.01).","")</f>
        <v/>
      </c>
    </row>
    <row r="42" spans="2:4" s="2" customFormat="1" x14ac:dyDescent="0.3">
      <c r="B42" s="22" t="str">
        <f>CONCATENATE(orig_income!$B$13," ",orig_income!$C$13," ",orig_income!$O$4)</f>
        <v>Rural Q1 FN_ON_sign</v>
      </c>
      <c r="C42" s="23">
        <f>IF(orig_income!$O$13="r","3",0)</f>
        <v>0</v>
      </c>
      <c r="D42" s="24" t="str">
        <f>IF(C42&gt;0, "2 - The difference between the Rural On-Reserve First Nations rate and the All Other Manitobans Lowest Rural rate was statistically significant (p&lt;0.01).","")</f>
        <v/>
      </c>
    </row>
    <row r="43" spans="2:4" s="2" customFormat="1" x14ac:dyDescent="0.3">
      <c r="B43" s="22" t="str">
        <f>CONCATENATE(orig_income!$B$13," ",orig_income!$C$13," ",orig_income!$P$4)</f>
        <v>Rural Q1 FN_OFF_sign</v>
      </c>
      <c r="C43" s="23">
        <f>IF(orig_income!$P$13="o","5",0)</f>
        <v>0</v>
      </c>
      <c r="D43" s="24" t="str">
        <f>IF(C43&gt;0, "3 - The difference between the Rural Off-Reserve First Nations rate and the All Other Manitobans Lowest Rural rate was statistically significant (p&lt;0.01).","")</f>
        <v/>
      </c>
    </row>
    <row r="44" spans="2:4" s="2" customFormat="1" x14ac:dyDescent="0.3">
      <c r="B44" s="22" t="s">
        <v>66</v>
      </c>
      <c r="C44" s="23">
        <f>IF(OR(orig_income!$Q$5="s",orig_income!$Q$6="s",orig_income!$Q$7="s",orig_income!$Q$8="s",orig_income!$Q$12="s",orig_income!$Q$13="s",orig_income!$Q$12="s",orig_income!$Q$17="s"),1,0)</f>
        <v>0</v>
      </c>
      <c r="D44" s="24" t="str">
        <f>IF(C44&gt;0,"s – Data suppressed due to small numbers","")</f>
        <v/>
      </c>
    </row>
    <row r="45" spans="2:4" s="2" customFormat="1" ht="58.2" thickBot="1" x14ac:dyDescent="0.35">
      <c r="B45" s="98" t="s">
        <v>85</v>
      </c>
      <c r="C45" s="99"/>
      <c r="D45" s="27" t="str">
        <f>CONCATENATE(D41,CHAR(10),D42,CHAR(10),D43,CHAR(10),D44)</f>
        <v xml:space="preserve">
</v>
      </c>
    </row>
  </sheetData>
  <mergeCells count="5">
    <mergeCell ref="B10:C10"/>
    <mergeCell ref="B16:C16"/>
    <mergeCell ref="B26:C26"/>
    <mergeCell ref="B37:C37"/>
    <mergeCell ref="B45:C4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BS63"/>
  <sheetViews>
    <sheetView topLeftCell="C16" zoomScale="90" zoomScaleNormal="90" workbookViewId="0">
      <selection activeCell="L43" sqref="L43"/>
    </sheetView>
  </sheetViews>
  <sheetFormatPr defaultColWidth="9.109375" defaultRowHeight="14.4" x14ac:dyDescent="0.3"/>
  <cols>
    <col min="1" max="1" width="9.109375" style="28"/>
    <col min="2" max="2" width="21.44140625" style="28" customWidth="1"/>
    <col min="3" max="4" width="26.88671875" style="28" customWidth="1"/>
    <col min="5" max="5" width="8.88671875" style="28" customWidth="1"/>
    <col min="6" max="6" width="8.6640625" style="28" customWidth="1"/>
    <col min="7" max="7" width="18.33203125" style="28" customWidth="1"/>
    <col min="8" max="8" width="16.6640625" style="28" customWidth="1"/>
    <col min="9" max="9" width="19.88671875" style="28" customWidth="1"/>
    <col min="10" max="10" width="13.109375" style="28" customWidth="1"/>
    <col min="11" max="11" width="16.5546875" style="28" customWidth="1"/>
    <col min="12" max="12" width="13.109375" style="28" customWidth="1"/>
    <col min="13" max="16" width="17" style="28" customWidth="1"/>
    <col min="17" max="17" width="26.6640625" style="28" customWidth="1"/>
    <col min="18" max="18" width="27.6640625" style="28" customWidth="1"/>
    <col min="19" max="19" width="29.88671875" style="28" customWidth="1"/>
    <col min="20" max="20" width="20" style="28" customWidth="1"/>
    <col min="21" max="22" width="18" style="28" customWidth="1"/>
    <col min="23" max="31" width="15.33203125" style="28" customWidth="1"/>
    <col min="32" max="16384" width="9.109375" style="28"/>
  </cols>
  <sheetData>
    <row r="1" spans="2:71" s="30" customFormat="1" x14ac:dyDescent="0.3">
      <c r="B1" s="48" t="s">
        <v>143</v>
      </c>
      <c r="E1" s="30" t="s">
        <v>104</v>
      </c>
      <c r="M1" s="30" t="s">
        <v>2</v>
      </c>
      <c r="Q1" s="30" t="s">
        <v>96</v>
      </c>
      <c r="R1" s="30" t="s">
        <v>180</v>
      </c>
      <c r="V1" s="30" t="s">
        <v>97</v>
      </c>
      <c r="Z1" s="30" t="s">
        <v>98</v>
      </c>
    </row>
    <row r="2" spans="2:71" x14ac:dyDescent="0.3">
      <c r="C2" s="30" t="s">
        <v>103</v>
      </c>
      <c r="E2" s="31" t="s">
        <v>1</v>
      </c>
      <c r="F2" s="31"/>
      <c r="G2" s="31" t="s">
        <v>135</v>
      </c>
      <c r="H2" s="31" t="s">
        <v>136</v>
      </c>
      <c r="I2" s="31" t="s">
        <v>137</v>
      </c>
      <c r="J2" s="31" t="s">
        <v>138</v>
      </c>
      <c r="K2" s="31" t="s">
        <v>139</v>
      </c>
      <c r="L2" s="31" t="s">
        <v>47</v>
      </c>
      <c r="R2" s="30" t="s">
        <v>50</v>
      </c>
      <c r="S2" s="30" t="s">
        <v>52</v>
      </c>
      <c r="T2" s="30" t="s">
        <v>76</v>
      </c>
      <c r="U2" s="30" t="s">
        <v>57</v>
      </c>
      <c r="V2" s="30" t="s">
        <v>124</v>
      </c>
      <c r="W2" s="30" t="s">
        <v>134</v>
      </c>
      <c r="X2" s="30" t="s">
        <v>140</v>
      </c>
      <c r="Y2" s="30" t="s">
        <v>141</v>
      </c>
      <c r="Z2" s="30" t="s">
        <v>50</v>
      </c>
      <c r="AA2" s="30" t="s">
        <v>52</v>
      </c>
      <c r="AB2" s="30" t="s">
        <v>76</v>
      </c>
      <c r="AC2" s="30" t="s">
        <v>95</v>
      </c>
      <c r="AX2" s="32"/>
      <c r="AY2" s="32"/>
      <c r="AZ2" s="32"/>
      <c r="BA2" s="32"/>
      <c r="BB2" s="32"/>
      <c r="BC2" s="32"/>
      <c r="BD2" s="32"/>
      <c r="BE2" s="32"/>
      <c r="BF2" s="32"/>
      <c r="BG2" s="32"/>
      <c r="BJ2" s="32"/>
      <c r="BK2" s="32"/>
      <c r="BL2" s="32"/>
      <c r="BM2" s="32"/>
      <c r="BN2" s="32"/>
      <c r="BO2" s="32"/>
      <c r="BP2" s="32"/>
      <c r="BQ2" s="32"/>
      <c r="BR2" s="32"/>
      <c r="BS2" s="32"/>
    </row>
    <row r="3" spans="2:71" x14ac:dyDescent="0.3">
      <c r="G3" s="28" t="str">
        <f>orig_rha!AL4</f>
        <v>FN_ON_sign</v>
      </c>
      <c r="H3" s="28" t="str">
        <f>orig_rha!AM4</f>
        <v>FN_OFF_sign</v>
      </c>
      <c r="I3" s="28" t="str">
        <f>orig_rha!AN4</f>
        <v>FN_sign</v>
      </c>
      <c r="J3" s="28" t="str">
        <f>orig_rha!AO4</f>
        <v>AOMB_sign</v>
      </c>
      <c r="K3" s="28" t="str">
        <f>orig_rha!AP4</f>
        <v>FNvsAOMB_sign</v>
      </c>
      <c r="L3" s="28" t="str">
        <f>orig_rha!AQ4</f>
        <v>ONvsOFF_sign</v>
      </c>
      <c r="M3" s="28" t="str">
        <f>orig_rha!AR4</f>
        <v>FN_ON_suppress</v>
      </c>
      <c r="N3" s="28" t="str">
        <f>orig_rha!AS4</f>
        <v>FN_OFF_suppress</v>
      </c>
      <c r="O3" s="28" t="str">
        <f>orig_rha!AT4</f>
        <v>FN_suppress</v>
      </c>
      <c r="P3" s="28" t="str">
        <f>orig_rha!AU4</f>
        <v>AOMB_suppress</v>
      </c>
      <c r="R3" s="28" t="str">
        <f>orig_rha!$D$4</f>
        <v>FN_ON_crd_rate</v>
      </c>
      <c r="S3" s="28" t="str">
        <f>orig_rha!$K$4</f>
        <v>FN_OFF_crd_rate</v>
      </c>
      <c r="T3" s="28" t="str">
        <f>orig_rha!$R$4</f>
        <v>FN_crd_rate</v>
      </c>
      <c r="U3" s="28" t="str">
        <f>orig_rha!$Y$4</f>
        <v>AOMB_crd_rate</v>
      </c>
      <c r="Z3" s="28" t="str">
        <f>orig_rha!B4</f>
        <v>FN_ON_infant_mortality</v>
      </c>
      <c r="AA3" s="28" t="str">
        <f>orig_rha!I4</f>
        <v>FN_OFF_infant_mortality</v>
      </c>
      <c r="AB3" s="28" t="str">
        <f>orig_rha!P4</f>
        <v>FN_infant_mortality</v>
      </c>
      <c r="AC3" s="28" t="str">
        <f>orig_rha!W4</f>
        <v>AOMB_infant_mortality</v>
      </c>
    </row>
    <row r="4" spans="2:71" x14ac:dyDescent="0.3">
      <c r="B4" s="28" t="s">
        <v>55</v>
      </c>
      <c r="C4" s="28" t="str">
        <f>CONCATENATE(D4,," ",F4)</f>
        <v xml:space="preserve">Southern Health-Santé Sud </v>
      </c>
      <c r="D4" s="28" t="s">
        <v>77</v>
      </c>
      <c r="E4" s="28" t="str">
        <f>CONCATENATE("(",G4,",",H4,",",I4,",",J4,",",K4,",",L4,")")</f>
        <v>(,,,,,)</v>
      </c>
      <c r="F4" s="28" t="str">
        <f>SUBSTITUTE(SUBSTITUTE(SUBSTITUTE(SUBSTITUTE(SUBSTITUTE(SUBSTITUTE(SUBSTITUTE(SUBSTITUTE(SUBSTITUTE(SUBSTITUTE(E4,"(,,,,,,)",""),"(,,,,,)",""),"(,,,,)",""),"(,,,)",""),"(,,","("),",,)",")"),",,,",","),",,",","),",)",")"),"(,","(")</f>
        <v/>
      </c>
      <c r="G4" s="28" t="str">
        <f>IF(orig_rha!AL5="c","1","")</f>
        <v/>
      </c>
      <c r="H4" s="28" t="str">
        <f>IF(orig_rha!AM5="d","2","")</f>
        <v/>
      </c>
      <c r="I4" s="28" t="str">
        <f>IF(orig_rha!AN5="e","3","")</f>
        <v/>
      </c>
      <c r="J4" s="28" t="str">
        <f>IF(orig_rha!AO5="f","4","")</f>
        <v/>
      </c>
      <c r="K4" s="28" t="str">
        <f>IF(orig_rha!AP5="b","5","")</f>
        <v/>
      </c>
      <c r="L4" s="28" t="str">
        <f>IF(orig_rha!AQ5="a","6","")</f>
        <v/>
      </c>
      <c r="M4" s="28" t="str">
        <f>orig_rha!AR5</f>
        <v xml:space="preserve"> </v>
      </c>
      <c r="N4" s="28" t="str">
        <f>orig_rha!AS5</f>
        <v>s</v>
      </c>
      <c r="O4" s="28" t="str">
        <f>orig_rha!AT5</f>
        <v xml:space="preserve"> </v>
      </c>
      <c r="P4" s="28" t="str">
        <f>orig_rha!AU5</f>
        <v xml:space="preserve"> </v>
      </c>
      <c r="Q4" s="28" t="str">
        <f t="shared" ref="Q4:Q9" si="0">D4</f>
        <v>Southern Health-Santé Sud</v>
      </c>
      <c r="R4" s="28">
        <f>orig_rha!D5</f>
        <v>10.517090272000001</v>
      </c>
      <c r="S4" s="28" t="str">
        <f>orig_rha!K5</f>
        <v xml:space="preserve"> </v>
      </c>
      <c r="T4" s="28">
        <f>orig_rha!R5</f>
        <v>8.4033613445000004</v>
      </c>
      <c r="U4" s="28">
        <f>orig_rha!Y5</f>
        <v>3.3737156877999999</v>
      </c>
      <c r="V4" s="28">
        <f t="shared" ref="V4:V9" si="1">$R$9</f>
        <v>8.7843833184999998</v>
      </c>
      <c r="W4" s="28">
        <f t="shared" ref="W4:W9" si="2">$S$9</f>
        <v>5.8969584108999999</v>
      </c>
      <c r="X4" s="28">
        <f t="shared" ref="X4:X9" si="3">$T$9</f>
        <v>7.7339957096000003</v>
      </c>
      <c r="Y4" s="28">
        <f t="shared" ref="Y4:Y9" si="4">$U$9</f>
        <v>3.9254170756</v>
      </c>
      <c r="Z4" s="34">
        <f>IF(M4="s","s",orig_rha!B5)</f>
        <v>12</v>
      </c>
      <c r="AA4" s="34" t="str">
        <f>IF(N4="s","s",orig_rha!I5)</f>
        <v>s</v>
      </c>
      <c r="AB4" s="34">
        <f>IF(O4="s","s",orig_rha!P5)</f>
        <v>13</v>
      </c>
      <c r="AC4" s="34">
        <f>IF(P4="s","s",orig_rha!W5)</f>
        <v>44</v>
      </c>
    </row>
    <row r="5" spans="2:71" x14ac:dyDescent="0.3">
      <c r="C5" s="28" t="str">
        <f t="shared" ref="C5:C9" si="5">CONCATENATE(D5,," ",F5)</f>
        <v xml:space="preserve">Winnipeg RHA </v>
      </c>
      <c r="D5" s="28" t="s">
        <v>78</v>
      </c>
      <c r="E5" s="28" t="str">
        <f t="shared" ref="E5:E9" si="6">CONCATENATE("(",G5,",",H5,",",I5,",",J5,",",K5,",",L5,")")</f>
        <v>(,,,,,)</v>
      </c>
      <c r="F5" s="28" t="str">
        <f t="shared" ref="F5:F9" si="7">SUBSTITUTE(SUBSTITUTE(SUBSTITUTE(SUBSTITUTE(SUBSTITUTE(SUBSTITUTE(SUBSTITUTE(SUBSTITUTE(SUBSTITUTE(SUBSTITUTE(E5,"(,,,,,,)",""),"(,,,,,)",""),"(,,,,)",""),"(,,,)",""),"(,,","("),",,)",")"),",,,",","),",,",","),",)",")"),"(,","(")</f>
        <v/>
      </c>
      <c r="G5" s="28" t="str">
        <f>IF(orig_rha!AL6="c","1","")</f>
        <v/>
      </c>
      <c r="H5" s="28" t="str">
        <f>IF(orig_rha!AM6="d","2","")</f>
        <v/>
      </c>
      <c r="I5" s="28" t="str">
        <f>IF(orig_rha!AN6="e","3","")</f>
        <v/>
      </c>
      <c r="J5" s="28" t="str">
        <f>IF(orig_rha!AO6="f","4","")</f>
        <v/>
      </c>
      <c r="K5" s="28" t="str">
        <f>IF(orig_rha!AP6="b","5","")</f>
        <v/>
      </c>
      <c r="L5" s="28" t="str">
        <f>IF(orig_rha!AQ6="a","6","")</f>
        <v/>
      </c>
      <c r="M5" s="28" t="str">
        <f>orig_rha!AR6</f>
        <v xml:space="preserve"> </v>
      </c>
      <c r="N5" s="28" t="str">
        <f>orig_rha!AS6</f>
        <v xml:space="preserve"> </v>
      </c>
      <c r="O5" s="28" t="str">
        <f>orig_rha!AT6</f>
        <v xml:space="preserve"> </v>
      </c>
      <c r="P5" s="28" t="str">
        <f>orig_rha!AU6</f>
        <v xml:space="preserve"> </v>
      </c>
      <c r="Q5" s="28" t="str">
        <f t="shared" si="0"/>
        <v>Winnipeg RHA</v>
      </c>
      <c r="R5" s="28" t="str">
        <f>orig_rha!D6</f>
        <v xml:space="preserve"> </v>
      </c>
      <c r="S5" s="28">
        <f>orig_rha!K6</f>
        <v>4.2194092827</v>
      </c>
      <c r="T5" s="28">
        <f>orig_rha!R6</f>
        <v>4.2194092827</v>
      </c>
      <c r="U5" s="28">
        <f>orig_rha!Y6</f>
        <v>4.0702407256999997</v>
      </c>
      <c r="V5" s="28">
        <f t="shared" si="1"/>
        <v>8.7843833184999998</v>
      </c>
      <c r="W5" s="28">
        <f t="shared" si="2"/>
        <v>5.8969584108999999</v>
      </c>
      <c r="X5" s="28">
        <f t="shared" si="3"/>
        <v>7.7339957096000003</v>
      </c>
      <c r="Y5" s="28">
        <f t="shared" si="4"/>
        <v>3.9254170756</v>
      </c>
      <c r="Z5" s="34" t="str">
        <f>IF(M5="s","s",orig_rha!B6)</f>
        <v xml:space="preserve"> </v>
      </c>
      <c r="AA5" s="34">
        <f>IF(N5="s","s",orig_rha!I6)</f>
        <v>16</v>
      </c>
      <c r="AB5" s="34">
        <f>IF(O5="s","s",orig_rha!P6)</f>
        <v>16</v>
      </c>
      <c r="AC5" s="34">
        <f>IF(P5="s","s",orig_rha!W6)</f>
        <v>140</v>
      </c>
    </row>
    <row r="6" spans="2:71" x14ac:dyDescent="0.3">
      <c r="C6" s="28" t="str">
        <f t="shared" si="5"/>
        <v xml:space="preserve">Prairie Mountain Health  </v>
      </c>
      <c r="D6" s="28" t="s">
        <v>49</v>
      </c>
      <c r="E6" s="28" t="str">
        <f t="shared" si="6"/>
        <v>(,,,,,)</v>
      </c>
      <c r="F6" s="28" t="str">
        <f t="shared" si="7"/>
        <v/>
      </c>
      <c r="G6" s="28" t="str">
        <f>IF(orig_rha!AL7="c","1","")</f>
        <v/>
      </c>
      <c r="H6" s="28" t="str">
        <f>IF(orig_rha!AM7="d","2","")</f>
        <v/>
      </c>
      <c r="I6" s="28" t="str">
        <f>IF(orig_rha!AN7="e","3","")</f>
        <v/>
      </c>
      <c r="J6" s="28" t="str">
        <f>IF(orig_rha!AO7="f","4","")</f>
        <v/>
      </c>
      <c r="K6" s="28" t="str">
        <f>IF(orig_rha!AP7="b","5","")</f>
        <v/>
      </c>
      <c r="L6" s="28" t="str">
        <f>IF(orig_rha!AQ7="a","6","")</f>
        <v/>
      </c>
      <c r="M6" s="28" t="str">
        <f>orig_rha!AR7</f>
        <v xml:space="preserve"> </v>
      </c>
      <c r="N6" s="28" t="str">
        <f>orig_rha!AS7</f>
        <v>s</v>
      </c>
      <c r="O6" s="28" t="str">
        <f>orig_rha!AT7</f>
        <v xml:space="preserve"> </v>
      </c>
      <c r="P6" s="28" t="str">
        <f>orig_rha!AU7</f>
        <v xml:space="preserve"> </v>
      </c>
      <c r="Q6" s="28" t="str">
        <f t="shared" si="0"/>
        <v xml:space="preserve">Prairie Mountain Health </v>
      </c>
      <c r="R6" s="28">
        <f>orig_rha!D7</f>
        <v>10.781671159</v>
      </c>
      <c r="S6" s="28" t="str">
        <f>orig_rha!K7</f>
        <v xml:space="preserve"> </v>
      </c>
      <c r="T6" s="28">
        <f>orig_rha!R7</f>
        <v>8.4343700580000007</v>
      </c>
      <c r="U6" s="28">
        <f>orig_rha!Y7</f>
        <v>4.4949136503</v>
      </c>
      <c r="V6" s="28">
        <f t="shared" si="1"/>
        <v>8.7843833184999998</v>
      </c>
      <c r="W6" s="28">
        <f t="shared" si="2"/>
        <v>5.8969584108999999</v>
      </c>
      <c r="X6" s="28">
        <f t="shared" si="3"/>
        <v>7.7339957096000003</v>
      </c>
      <c r="Y6" s="28">
        <f t="shared" si="4"/>
        <v>3.9254170756</v>
      </c>
      <c r="Z6" s="34">
        <f>IF(M6="s","s",orig_rha!B7)</f>
        <v>12</v>
      </c>
      <c r="AA6" s="34" t="str">
        <f>IF(N6="s","s",orig_rha!I7)</f>
        <v>s</v>
      </c>
      <c r="AB6" s="34">
        <f>IF(O6="s","s",orig_rha!P7)</f>
        <v>16</v>
      </c>
      <c r="AC6" s="34">
        <f>IF(P6="s","s",orig_rha!W7)</f>
        <v>38</v>
      </c>
    </row>
    <row r="7" spans="2:71" x14ac:dyDescent="0.3">
      <c r="C7" s="28" t="str">
        <f t="shared" si="5"/>
        <v xml:space="preserve">Interlake-Eastern RHA </v>
      </c>
      <c r="D7" s="28" t="s">
        <v>79</v>
      </c>
      <c r="E7" s="28" t="str">
        <f t="shared" si="6"/>
        <v>(,,,,,)</v>
      </c>
      <c r="F7" s="28" t="str">
        <f t="shared" si="7"/>
        <v/>
      </c>
      <c r="G7" s="28" t="str">
        <f>IF(orig_rha!AL8="c","1","")</f>
        <v/>
      </c>
      <c r="H7" s="28" t="str">
        <f>IF(orig_rha!AM8="d","2","")</f>
        <v/>
      </c>
      <c r="I7" s="28" t="str">
        <f>IF(orig_rha!AN8="e","3","")</f>
        <v/>
      </c>
      <c r="J7" s="28" t="str">
        <f>IF(orig_rha!AO8="f","4","")</f>
        <v/>
      </c>
      <c r="K7" s="28" t="str">
        <f>IF(orig_rha!AP8="b","5","")</f>
        <v/>
      </c>
      <c r="L7" s="28" t="str">
        <f>IF(orig_rha!AQ8="a","6","")</f>
        <v/>
      </c>
      <c r="M7" s="28" t="str">
        <f>orig_rha!AR8</f>
        <v xml:space="preserve"> </v>
      </c>
      <c r="N7" s="28" t="str">
        <f>orig_rha!AS8</f>
        <v xml:space="preserve"> </v>
      </c>
      <c r="O7" s="28" t="str">
        <f>orig_rha!AT8</f>
        <v xml:space="preserve"> </v>
      </c>
      <c r="P7" s="28" t="str">
        <f>orig_rha!AU8</f>
        <v xml:space="preserve"> </v>
      </c>
      <c r="Q7" s="28" t="str">
        <f t="shared" si="0"/>
        <v>Interlake-Eastern RHA</v>
      </c>
      <c r="R7" s="28">
        <f>orig_rha!D8</f>
        <v>10.439970172000001</v>
      </c>
      <c r="S7" s="28">
        <f>orig_rha!K8</f>
        <v>6.7678379000000002E-9</v>
      </c>
      <c r="T7" s="28">
        <f>orig_rha!R8</f>
        <v>9.1653027822999995</v>
      </c>
      <c r="U7" s="28">
        <f>orig_rha!Y8</f>
        <v>2.5231286796000001</v>
      </c>
      <c r="V7" s="28">
        <f t="shared" si="1"/>
        <v>8.7843833184999998</v>
      </c>
      <c r="W7" s="28">
        <f t="shared" si="2"/>
        <v>5.8969584108999999</v>
      </c>
      <c r="X7" s="28">
        <f t="shared" si="3"/>
        <v>7.7339957096000003</v>
      </c>
      <c r="Y7" s="28">
        <f t="shared" si="4"/>
        <v>3.9254170756</v>
      </c>
      <c r="Z7" s="34">
        <f>IF(M7="s","s",orig_rha!B8)</f>
        <v>28</v>
      </c>
      <c r="AA7" s="34">
        <f>IF(N7="s","s",orig_rha!I8)</f>
        <v>0</v>
      </c>
      <c r="AB7" s="34">
        <f>IF(O7="s","s",orig_rha!P8)</f>
        <v>28</v>
      </c>
      <c r="AC7" s="34">
        <f>IF(P7="s","s",orig_rha!W8)</f>
        <v>12</v>
      </c>
    </row>
    <row r="8" spans="2:71" x14ac:dyDescent="0.3">
      <c r="C8" s="28" t="str">
        <f t="shared" si="5"/>
        <v xml:space="preserve">Northern Health Region </v>
      </c>
      <c r="D8" s="28" t="s">
        <v>80</v>
      </c>
      <c r="E8" s="28" t="str">
        <f t="shared" si="6"/>
        <v>(,,,,,)</v>
      </c>
      <c r="F8" s="28" t="str">
        <f t="shared" si="7"/>
        <v/>
      </c>
      <c r="G8" s="28" t="str">
        <f>IF(orig_rha!AL9="c","1","")</f>
        <v/>
      </c>
      <c r="H8" s="28" t="str">
        <f>IF(orig_rha!AM9="d","2","")</f>
        <v/>
      </c>
      <c r="I8" s="28" t="str">
        <f>IF(orig_rha!AN9="e","3","")</f>
        <v/>
      </c>
      <c r="J8" s="28" t="str">
        <f>IF(orig_rha!AO9="f","4","")</f>
        <v/>
      </c>
      <c r="K8" s="28" t="str">
        <f>IF(orig_rha!AP9="b","5","")</f>
        <v/>
      </c>
      <c r="L8" s="28" t="str">
        <f>IF(orig_rha!AQ9="a","6","")</f>
        <v/>
      </c>
      <c r="M8" s="28" t="str">
        <f>orig_rha!AR9</f>
        <v xml:space="preserve"> </v>
      </c>
      <c r="N8" s="28" t="str">
        <f>orig_rha!AS9</f>
        <v xml:space="preserve"> </v>
      </c>
      <c r="O8" s="28" t="str">
        <f>orig_rha!AT9</f>
        <v xml:space="preserve"> </v>
      </c>
      <c r="P8" s="28" t="str">
        <f>orig_rha!AU9</f>
        <v xml:space="preserve"> </v>
      </c>
      <c r="Q8" s="28" t="str">
        <f t="shared" si="0"/>
        <v>Northern Health Region</v>
      </c>
      <c r="R8" s="28">
        <f>orig_rha!D9</f>
        <v>7.4202715503999999</v>
      </c>
      <c r="S8" s="28">
        <f>orig_rha!K9</f>
        <v>15.858208955</v>
      </c>
      <c r="T8" s="28">
        <f>orig_rha!R9</f>
        <v>8.6416419120000008</v>
      </c>
      <c r="U8" s="28">
        <f>orig_rha!Y9</f>
        <v>6.1983471074000001</v>
      </c>
      <c r="V8" s="28">
        <f t="shared" si="1"/>
        <v>8.7843833184999998</v>
      </c>
      <c r="W8" s="28">
        <f t="shared" si="2"/>
        <v>5.8969584108999999</v>
      </c>
      <c r="X8" s="28">
        <f t="shared" si="3"/>
        <v>7.7339957096000003</v>
      </c>
      <c r="Y8" s="28">
        <f t="shared" si="4"/>
        <v>3.9254170756</v>
      </c>
      <c r="Z8" s="34">
        <f>IF(M8="s","s",orig_rha!B9)</f>
        <v>47</v>
      </c>
      <c r="AA8" s="34">
        <f>IF(N8="s","s",orig_rha!I9)</f>
        <v>17</v>
      </c>
      <c r="AB8" s="34">
        <f>IF(O8="s","s",orig_rha!P9)</f>
        <v>64</v>
      </c>
      <c r="AC8" s="34">
        <f>IF(P8="s","s",orig_rha!W9)</f>
        <v>9</v>
      </c>
    </row>
    <row r="9" spans="2:71" s="33" customFormat="1" ht="15" thickBot="1" x14ac:dyDescent="0.35">
      <c r="B9" s="33" t="s">
        <v>3</v>
      </c>
      <c r="C9" s="33" t="str">
        <f t="shared" si="5"/>
        <v xml:space="preserve">Manitoba </v>
      </c>
      <c r="D9" s="33" t="s">
        <v>0</v>
      </c>
      <c r="E9" s="33" t="str">
        <f t="shared" si="6"/>
        <v>(,,,,,)</v>
      </c>
      <c r="F9" s="33" t="str">
        <f t="shared" si="7"/>
        <v/>
      </c>
      <c r="G9" s="33" t="str">
        <f>IF(orig_rha!AL11="c","1","")</f>
        <v/>
      </c>
      <c r="H9" s="33" t="str">
        <f>IF(orig_rha!AM11="d","2","")</f>
        <v/>
      </c>
      <c r="I9" s="33" t="str">
        <f>IF(orig_rha!AN11="e","3","")</f>
        <v/>
      </c>
      <c r="J9" s="33" t="str">
        <f>IF(orig_rha!AO11="f","4","")</f>
        <v/>
      </c>
      <c r="K9" s="33" t="str">
        <f>IF(orig_rha!AP11="b","5","")</f>
        <v/>
      </c>
      <c r="L9" s="33" t="str">
        <f>IF(orig_rha!AQ11="a","6","")</f>
        <v/>
      </c>
      <c r="M9" s="33" t="str">
        <f>orig_rha!AR11</f>
        <v xml:space="preserve"> </v>
      </c>
      <c r="N9" s="33" t="str">
        <f>orig_rha!AS11</f>
        <v xml:space="preserve"> </v>
      </c>
      <c r="O9" s="33" t="str">
        <f>orig_rha!AT11</f>
        <v xml:space="preserve"> </v>
      </c>
      <c r="P9" s="33" t="str">
        <f>orig_rha!AU11</f>
        <v xml:space="preserve"> </v>
      </c>
      <c r="Q9" s="33" t="str">
        <f t="shared" si="0"/>
        <v>Manitoba</v>
      </c>
      <c r="R9" s="33">
        <f>orig_rha!D11</f>
        <v>8.7843833184999998</v>
      </c>
      <c r="S9" s="33">
        <f>orig_rha!K11</f>
        <v>5.8969584108999999</v>
      </c>
      <c r="T9" s="33">
        <f>orig_rha!R11</f>
        <v>7.7339957096000003</v>
      </c>
      <c r="U9" s="33">
        <f>orig_rha!Y11</f>
        <v>3.9254170756</v>
      </c>
      <c r="V9" s="33">
        <f t="shared" si="1"/>
        <v>8.7843833184999998</v>
      </c>
      <c r="W9" s="33">
        <f t="shared" si="2"/>
        <v>5.8969584108999999</v>
      </c>
      <c r="X9" s="33">
        <f t="shared" si="3"/>
        <v>7.7339957096000003</v>
      </c>
      <c r="Y9" s="33">
        <f t="shared" si="4"/>
        <v>3.9254170756</v>
      </c>
      <c r="Z9" s="33">
        <f>IF(M9="s","s",orig_rha!B11)</f>
        <v>99</v>
      </c>
      <c r="AA9" s="33">
        <f>IF(N9="s","s",orig_rha!I11)</f>
        <v>38</v>
      </c>
      <c r="AB9" s="33">
        <f>IF(O9="s","s",orig_rha!P11)</f>
        <v>137</v>
      </c>
      <c r="AC9" s="33">
        <f>IF(P9="s","s",orig_rha!W11)</f>
        <v>244</v>
      </c>
    </row>
    <row r="10" spans="2:71" x14ac:dyDescent="0.3">
      <c r="C10" s="28" t="str">
        <f>CONCATENATE(D10,," ",I10)</f>
        <v xml:space="preserve"> </v>
      </c>
      <c r="L10" s="28" t="s">
        <v>4</v>
      </c>
    </row>
    <row r="11" spans="2:71" x14ac:dyDescent="0.3">
      <c r="B11" s="48" t="s">
        <v>142</v>
      </c>
      <c r="C11" s="50"/>
      <c r="E11" s="30" t="s">
        <v>104</v>
      </c>
      <c r="F11" s="30"/>
      <c r="G11" s="30"/>
      <c r="H11" s="30"/>
      <c r="K11" s="30" t="s">
        <v>100</v>
      </c>
      <c r="L11" s="30" t="s">
        <v>99</v>
      </c>
      <c r="M11" s="30" t="s">
        <v>54</v>
      </c>
      <c r="N11" s="30"/>
      <c r="O11" s="28" t="s">
        <v>105</v>
      </c>
      <c r="Y11" s="28" t="s">
        <v>53</v>
      </c>
    </row>
    <row r="12" spans="2:71" x14ac:dyDescent="0.3">
      <c r="C12" s="30" t="s">
        <v>103</v>
      </c>
      <c r="E12" s="31" t="s">
        <v>1</v>
      </c>
      <c r="F12" s="31"/>
      <c r="G12" s="31" t="s">
        <v>119</v>
      </c>
      <c r="H12" s="31" t="s">
        <v>120</v>
      </c>
      <c r="I12" s="31"/>
      <c r="J12" s="30" t="s">
        <v>2</v>
      </c>
      <c r="K12" s="30" t="s">
        <v>117</v>
      </c>
      <c r="L12" s="30" t="s">
        <v>124</v>
      </c>
      <c r="M12" s="30"/>
      <c r="N12" s="30"/>
    </row>
    <row r="13" spans="2:71" x14ac:dyDescent="0.3">
      <c r="B13" s="31"/>
      <c r="I13" s="32"/>
      <c r="J13" s="28" t="e">
        <f>#REF!</f>
        <v>#REF!</v>
      </c>
      <c r="K13" s="28" t="e">
        <f>#REF!</f>
        <v>#REF!</v>
      </c>
      <c r="M13" s="28" t="e">
        <f>#REF!</f>
        <v>#REF!</v>
      </c>
    </row>
    <row r="14" spans="2:71" x14ac:dyDescent="0.3">
      <c r="B14" s="28" t="s">
        <v>11</v>
      </c>
      <c r="C14" s="28" t="e">
        <f>CONCATENATE(D14,," ",F14)</f>
        <v>#REF!</v>
      </c>
      <c r="D14" s="28" t="s">
        <v>7</v>
      </c>
      <c r="E14" s="28" t="e">
        <f>CONCATENATE("(",G14,",",H14,",",I14,")")</f>
        <v>#REF!</v>
      </c>
      <c r="F14" s="28" t="e">
        <f>SUBSTITUTE(SUBSTITUTE(SUBSTITUTE(SUBSTITUTE(SUBSTITUTE(SUBSTITUTE(SUBSTITUTE(E14,"(,,)",""),",,",","),"(,)",""),"(,,","("),",,)",")"),"(,","("),",)",")")</f>
        <v>#REF!</v>
      </c>
      <c r="H14" s="28" t="e">
        <f>IF(#REF!="b","†","")</f>
        <v>#REF!</v>
      </c>
      <c r="I14" s="32"/>
      <c r="J14" s="28" t="e">
        <f>#REF!</f>
        <v>#REF!</v>
      </c>
      <c r="K14" s="28" t="e">
        <f>IF(J14="s","s",#REF!)</f>
        <v>#REF!</v>
      </c>
      <c r="L14" s="28" t="e">
        <f t="shared" ref="L14:L20" si="8">$K$20</f>
        <v>#REF!</v>
      </c>
      <c r="M14" s="34" t="e">
        <f>IF(J14="s","s",#REF!)</f>
        <v>#REF!</v>
      </c>
      <c r="N14" s="34"/>
    </row>
    <row r="15" spans="2:71" x14ac:dyDescent="0.3">
      <c r="C15" s="28" t="e">
        <f t="shared" ref="C15:C19" si="9">CONCATENATE(D15,," ",F15)</f>
        <v>#REF!</v>
      </c>
      <c r="D15" s="28" t="s">
        <v>10</v>
      </c>
      <c r="E15" s="28" t="e">
        <f t="shared" ref="E15:E19" si="10">CONCATENATE("(",G15,",",H15,",",I15,")")</f>
        <v>#REF!</v>
      </c>
      <c r="F15" s="28" t="e">
        <f>SUBSTITUTE(SUBSTITUTE(SUBSTITUTE(SUBSTITUTE(SUBSTITUTE(SUBSTITUTE(SUBSTITUTE(E15,"(,,)",""),",,",","),"(,)",""),"(,,","("),",,)",")"),"(,","("),",)",")")</f>
        <v>#REF!</v>
      </c>
      <c r="H15" s="28" t="e">
        <f>IF(#REF!="b","†","")</f>
        <v>#REF!</v>
      </c>
      <c r="I15" s="32"/>
      <c r="J15" s="28" t="e">
        <f>#REF!</f>
        <v>#REF!</v>
      </c>
      <c r="K15" s="28" t="e">
        <f>IF(J15="s","s",#REF!)</f>
        <v>#REF!</v>
      </c>
      <c r="L15" s="28" t="e">
        <f t="shared" si="8"/>
        <v>#REF!</v>
      </c>
      <c r="M15" s="34" t="e">
        <f>IF(J15="s","s",#REF!)</f>
        <v>#REF!</v>
      </c>
      <c r="N15" s="34"/>
    </row>
    <row r="16" spans="2:71" x14ac:dyDescent="0.3">
      <c r="C16" s="28" t="e">
        <f t="shared" si="9"/>
        <v>#REF!</v>
      </c>
      <c r="D16" s="28" t="s">
        <v>9</v>
      </c>
      <c r="E16" s="28" t="e">
        <f t="shared" si="10"/>
        <v>#REF!</v>
      </c>
      <c r="F16" s="28" t="e">
        <f t="shared" ref="F16:F19" si="11">SUBSTITUTE(SUBSTITUTE(SUBSTITUTE(SUBSTITUTE(SUBSTITUTE(SUBSTITUTE(SUBSTITUTE(E16,"(,,)",""),",,",","),"(,)",""),"(,,","("),",,)",")"),"(,","("),",)",")")</f>
        <v>#REF!</v>
      </c>
      <c r="H16" s="28" t="e">
        <f>IF(#REF!="b","†","")</f>
        <v>#REF!</v>
      </c>
      <c r="I16" s="32"/>
      <c r="J16" s="28" t="e">
        <f>#REF!</f>
        <v>#REF!</v>
      </c>
      <c r="K16" s="28" t="e">
        <f>IF(J16="s","s",#REF!)</f>
        <v>#REF!</v>
      </c>
      <c r="L16" s="28" t="e">
        <f t="shared" si="8"/>
        <v>#REF!</v>
      </c>
      <c r="M16" s="34" t="e">
        <f>IF(J16="s","s",#REF!)</f>
        <v>#REF!</v>
      </c>
      <c r="N16" s="34"/>
    </row>
    <row r="17" spans="1:19" x14ac:dyDescent="0.3">
      <c r="C17" s="28" t="e">
        <f t="shared" si="9"/>
        <v>#REF!</v>
      </c>
      <c r="D17" s="28" t="s">
        <v>6</v>
      </c>
      <c r="E17" s="28" t="e">
        <f t="shared" si="10"/>
        <v>#REF!</v>
      </c>
      <c r="F17" s="28" t="e">
        <f t="shared" si="11"/>
        <v>#REF!</v>
      </c>
      <c r="H17" s="28" t="e">
        <f>IF(#REF!="b","†","")</f>
        <v>#REF!</v>
      </c>
      <c r="I17" s="32"/>
      <c r="J17" s="28" t="e">
        <f>#REF!</f>
        <v>#REF!</v>
      </c>
      <c r="K17" s="28" t="e">
        <f>IF(J17="s","s",#REF!)</f>
        <v>#REF!</v>
      </c>
      <c r="L17" s="28" t="e">
        <f t="shared" si="8"/>
        <v>#REF!</v>
      </c>
      <c r="M17" s="34" t="e">
        <f>IF(J17="s","s",#REF!)</f>
        <v>#REF!</v>
      </c>
      <c r="N17" s="34"/>
      <c r="Q17" s="58" t="s">
        <v>200</v>
      </c>
    </row>
    <row r="18" spans="1:19" x14ac:dyDescent="0.3">
      <c r="C18" s="28" t="e">
        <f t="shared" si="9"/>
        <v>#REF!</v>
      </c>
      <c r="D18" s="28" t="s">
        <v>8</v>
      </c>
      <c r="E18" s="28" t="e">
        <f t="shared" si="10"/>
        <v>#REF!</v>
      </c>
      <c r="F18" s="28" t="e">
        <f t="shared" si="11"/>
        <v>#REF!</v>
      </c>
      <c r="H18" s="28" t="e">
        <f>IF(#REF!="b","†","")</f>
        <v>#REF!</v>
      </c>
      <c r="I18" s="32"/>
      <c r="J18" s="28" t="e">
        <f>#REF!</f>
        <v>#REF!</v>
      </c>
      <c r="K18" s="28" t="e">
        <f>IF(J18="s","s",#REF!)</f>
        <v>#REF!</v>
      </c>
      <c r="L18" s="28" t="e">
        <f t="shared" si="8"/>
        <v>#REF!</v>
      </c>
      <c r="M18" s="34" t="e">
        <f>IF(J18="s","s",#REF!)</f>
        <v>#REF!</v>
      </c>
      <c r="N18" s="34"/>
    </row>
    <row r="19" spans="1:19" x14ac:dyDescent="0.3">
      <c r="C19" s="28" t="e">
        <f t="shared" si="9"/>
        <v>#REF!</v>
      </c>
      <c r="D19" s="28" t="s">
        <v>5</v>
      </c>
      <c r="E19" s="28" t="e">
        <f t="shared" si="10"/>
        <v>#REF!</v>
      </c>
      <c r="F19" s="28" t="e">
        <f t="shared" si="11"/>
        <v>#REF!</v>
      </c>
      <c r="H19" s="28" t="e">
        <f>IF(#REF!="b","†","")</f>
        <v>#REF!</v>
      </c>
      <c r="I19" s="32"/>
      <c r="J19" s="28" t="e">
        <f>#REF!</f>
        <v>#REF!</v>
      </c>
      <c r="K19" s="28" t="e">
        <f>IF(J19="s","s",#REF!)</f>
        <v>#REF!</v>
      </c>
      <c r="L19" s="28" t="e">
        <f t="shared" si="8"/>
        <v>#REF!</v>
      </c>
      <c r="M19" s="34" t="e">
        <f>IF(J19="s","s",#REF!)</f>
        <v>#REF!</v>
      </c>
      <c r="N19" s="34"/>
    </row>
    <row r="20" spans="1:19" s="33" customFormat="1" ht="15" thickBot="1" x14ac:dyDescent="0.35">
      <c r="B20" s="33" t="s">
        <v>45</v>
      </c>
      <c r="C20" s="33" t="str">
        <f>D20</f>
        <v>First Nations On-Reserve Avg</v>
      </c>
      <c r="D20" s="33" t="s">
        <v>124</v>
      </c>
      <c r="E20" s="37" t="str">
        <f>IF(I20="1","(1)","")</f>
        <v/>
      </c>
      <c r="F20" s="37"/>
      <c r="G20" s="37"/>
      <c r="H20" s="37"/>
      <c r="I20" s="39"/>
      <c r="J20" s="39" t="e">
        <f>#REF!</f>
        <v>#REF!</v>
      </c>
      <c r="K20" s="33" t="e">
        <f>IF(J20="s","s",#REF!)</f>
        <v>#REF!</v>
      </c>
      <c r="L20" s="33" t="e">
        <f t="shared" si="8"/>
        <v>#REF!</v>
      </c>
      <c r="M20" s="33" t="e">
        <f>IF(J20="s","s",#REF!)</f>
        <v>#REF!</v>
      </c>
    </row>
    <row r="21" spans="1:19" x14ac:dyDescent="0.3">
      <c r="K21" s="30" t="s">
        <v>129</v>
      </c>
      <c r="P21" s="30"/>
    </row>
    <row r="22" spans="1:19" x14ac:dyDescent="0.3">
      <c r="B22" s="49" t="s">
        <v>131</v>
      </c>
      <c r="C22" s="50"/>
      <c r="E22" s="30" t="s">
        <v>104</v>
      </c>
      <c r="F22" s="30"/>
      <c r="G22" s="30"/>
      <c r="H22" s="30"/>
      <c r="K22" s="30" t="s">
        <v>100</v>
      </c>
      <c r="L22" s="30" t="s">
        <v>99</v>
      </c>
      <c r="M22" s="30" t="s">
        <v>54</v>
      </c>
      <c r="N22" s="28" t="s">
        <v>105</v>
      </c>
      <c r="O22" s="28" t="s">
        <v>105</v>
      </c>
      <c r="P22" s="61"/>
      <c r="Q22" s="61"/>
      <c r="R22" s="30"/>
      <c r="S22" s="30"/>
    </row>
    <row r="23" spans="1:19" s="35" customFormat="1" ht="43.2" x14ac:dyDescent="0.3">
      <c r="C23" s="59" t="s">
        <v>103</v>
      </c>
      <c r="E23" s="60" t="s">
        <v>1</v>
      </c>
      <c r="F23" s="60"/>
      <c r="G23" s="60" t="s">
        <v>210</v>
      </c>
      <c r="H23" s="60" t="s">
        <v>182</v>
      </c>
      <c r="I23" s="60" t="s">
        <v>203</v>
      </c>
      <c r="J23" s="59" t="s">
        <v>2</v>
      </c>
      <c r="K23" s="59" t="s">
        <v>202</v>
      </c>
      <c r="L23" s="59" t="s">
        <v>201</v>
      </c>
      <c r="N23" s="59"/>
      <c r="P23" s="62"/>
      <c r="Q23" s="62"/>
      <c r="S23" s="59"/>
    </row>
    <row r="24" spans="1:19" x14ac:dyDescent="0.3">
      <c r="A24" s="28">
        <v>1</v>
      </c>
      <c r="B24" s="28" t="s">
        <v>132</v>
      </c>
      <c r="C24" s="28" t="str">
        <f t="shared" ref="C24:C32" si="12">CONCATENATE(D24,," ",F24)</f>
        <v xml:space="preserve">Interlake Reserves (IRTC) </v>
      </c>
      <c r="D24" s="28" t="s">
        <v>92</v>
      </c>
      <c r="E24" s="28" t="str">
        <f t="shared" ref="E24:E32" si="13">CONCATENATE("(",H24,",",H35,",",I24,",",I35,")")</f>
        <v>(,,,)</v>
      </c>
      <c r="F24" s="28" t="str">
        <f t="shared" ref="F24:F32" si="14">SUBSTITUTE(SUBSTITUTE(SUBSTITUTE(SUBSTITUTE(SUBSTITUTE(SUBSTITUTE(SUBSTITUTE(E24,"(,,,)",""),",,",","),"(,,)",""),"(,,","("),",,)",")"),"(,","("),",)",")")</f>
        <v/>
      </c>
      <c r="G24" s="28" t="str">
        <f>orig_tribal!K5</f>
        <v xml:space="preserve"> </v>
      </c>
      <c r="H24" s="28" t="str">
        <f>IF(orig_tribal!U5="b","†","")</f>
        <v/>
      </c>
      <c r="I24" s="28" t="str">
        <f>IF(orig_tribal!V5="d","§","")</f>
        <v/>
      </c>
      <c r="J24" s="28" t="str">
        <f>IF(orig_tribal!Y5="s", "s", "")</f>
        <v/>
      </c>
      <c r="K24" s="28">
        <f>orig_tribal!D5</f>
        <v>9.3240093240000004</v>
      </c>
      <c r="L24" s="28">
        <f t="shared" ref="L24:L32" si="15">$K$34</f>
        <v>8.7843833184999998</v>
      </c>
      <c r="M24" s="28" t="str">
        <f>orig_tribal!B5</f>
        <v>s</v>
      </c>
      <c r="P24" s="32"/>
      <c r="Q24" s="32"/>
    </row>
    <row r="25" spans="1:19" x14ac:dyDescent="0.3">
      <c r="A25" s="28">
        <v>2</v>
      </c>
      <c r="C25" s="28" t="str">
        <f t="shared" si="12"/>
        <v xml:space="preserve">West Region (WRTC) </v>
      </c>
      <c r="D25" s="28" t="s">
        <v>94</v>
      </c>
      <c r="E25" s="28" t="str">
        <f t="shared" si="13"/>
        <v>(,,,)</v>
      </c>
      <c r="F25" s="28" t="str">
        <f t="shared" si="14"/>
        <v/>
      </c>
      <c r="G25" s="28" t="str">
        <f>orig_tribal!K10</f>
        <v xml:space="preserve"> </v>
      </c>
      <c r="H25" s="28" t="str">
        <f>IF(orig_tribal!U10="b","†","")</f>
        <v/>
      </c>
      <c r="I25" s="28" t="str">
        <f>IF(orig_tribal!V10="d","§","")</f>
        <v/>
      </c>
      <c r="J25" s="28" t="str">
        <f>IF(orig_tribal!Y10="s", "s", "")</f>
        <v/>
      </c>
      <c r="K25" s="28">
        <f>orig_tribal!D10</f>
        <v>12.102874433</v>
      </c>
      <c r="L25" s="28">
        <f t="shared" si="15"/>
        <v>8.7843833184999998</v>
      </c>
      <c r="M25" s="28">
        <f>orig_tribal!B10</f>
        <v>8</v>
      </c>
      <c r="P25" s="32"/>
      <c r="Q25" s="32"/>
    </row>
    <row r="26" spans="1:19" x14ac:dyDescent="0.3">
      <c r="A26" s="28">
        <v>3</v>
      </c>
      <c r="B26" s="35"/>
      <c r="C26" s="28" t="str">
        <f t="shared" si="12"/>
        <v xml:space="preserve">Independent-North </v>
      </c>
      <c r="D26" s="28" t="s">
        <v>12</v>
      </c>
      <c r="E26" s="28" t="str">
        <f t="shared" si="13"/>
        <v>(,,,)</v>
      </c>
      <c r="F26" s="28" t="str">
        <f t="shared" si="14"/>
        <v/>
      </c>
      <c r="G26" s="28" t="str">
        <f>orig_tribal!K8</f>
        <v xml:space="preserve"> </v>
      </c>
      <c r="H26" s="28" t="str">
        <f>IF(orig_tribal!U8="b","†","")</f>
        <v/>
      </c>
      <c r="I26" s="28" t="str">
        <f>IF(orig_tribal!V8="d","§","")</f>
        <v/>
      </c>
      <c r="J26" s="28" t="str">
        <f>IF(orig_tribal!Y8="s", "s", "")</f>
        <v/>
      </c>
      <c r="K26" s="28">
        <f>orig_tribal!D8</f>
        <v>6.3237774030000002</v>
      </c>
      <c r="L26" s="28">
        <f t="shared" si="15"/>
        <v>8.7843833184999998</v>
      </c>
      <c r="M26" s="28">
        <f>orig_tribal!B8</f>
        <v>15</v>
      </c>
      <c r="P26" s="32"/>
      <c r="Q26" s="32"/>
    </row>
    <row r="27" spans="1:19" x14ac:dyDescent="0.3">
      <c r="A27" s="28">
        <v>4</v>
      </c>
      <c r="B27" s="35"/>
      <c r="C27" s="28" t="str">
        <f t="shared" si="12"/>
        <v xml:space="preserve">Swampy Cree (SCTC) </v>
      </c>
      <c r="D27" s="28" t="s">
        <v>91</v>
      </c>
      <c r="E27" s="28" t="str">
        <f t="shared" si="13"/>
        <v>(,,,)</v>
      </c>
      <c r="F27" s="28" t="str">
        <f t="shared" si="14"/>
        <v/>
      </c>
      <c r="G27" s="28">
        <f>orig_tribal!K6</f>
        <v>1</v>
      </c>
      <c r="H27" s="28" t="str">
        <f>IF(orig_tribal!U6="b","†","")</f>
        <v/>
      </c>
      <c r="I27" s="28" t="str">
        <f>IF(orig_tribal!V6="d","§","")</f>
        <v/>
      </c>
      <c r="J27" s="28" t="str">
        <f>IF(orig_tribal!Y6="s", "s", "")</f>
        <v/>
      </c>
      <c r="K27" s="28">
        <f>orig_tribal!D6</f>
        <v>5.3811659192999999</v>
      </c>
      <c r="L27" s="28">
        <f t="shared" si="15"/>
        <v>8.7843833184999998</v>
      </c>
      <c r="M27" s="28">
        <f>orig_tribal!B6</f>
        <v>6</v>
      </c>
      <c r="P27" s="32"/>
      <c r="Q27" s="32"/>
    </row>
    <row r="28" spans="1:19" x14ac:dyDescent="0.3">
      <c r="A28" s="28">
        <v>5</v>
      </c>
      <c r="C28" s="28" t="str">
        <f t="shared" si="12"/>
        <v xml:space="preserve">Keewatin (KTC) </v>
      </c>
      <c r="D28" s="28" t="s">
        <v>89</v>
      </c>
      <c r="E28" s="28" t="str">
        <f t="shared" si="13"/>
        <v>(,,,)</v>
      </c>
      <c r="F28" s="28" t="str">
        <f t="shared" si="14"/>
        <v/>
      </c>
      <c r="G28" s="28" t="str">
        <f>orig_tribal!K7</f>
        <v xml:space="preserve"> </v>
      </c>
      <c r="H28" s="28" t="str">
        <f>IF(orig_tribal!U7="b","†","")</f>
        <v/>
      </c>
      <c r="I28" s="28" t="str">
        <f>IF(orig_tribal!V7="d","§","")</f>
        <v/>
      </c>
      <c r="J28" s="28" t="str">
        <f>IF(orig_tribal!Y7="s", "s", "")</f>
        <v/>
      </c>
      <c r="K28" s="28">
        <f>orig_tribal!D7</f>
        <v>6.6312997346999998</v>
      </c>
      <c r="L28" s="28">
        <f t="shared" si="15"/>
        <v>8.7843833184999998</v>
      </c>
      <c r="M28" s="28">
        <f>orig_tribal!B7</f>
        <v>10</v>
      </c>
      <c r="P28" s="32"/>
      <c r="Q28" s="32"/>
    </row>
    <row r="29" spans="1:19" x14ac:dyDescent="0.3">
      <c r="A29" s="28">
        <v>6</v>
      </c>
      <c r="B29" s="35"/>
      <c r="C29" s="28" t="str">
        <f t="shared" si="12"/>
        <v xml:space="preserve">Independent-South </v>
      </c>
      <c r="D29" s="28" t="s">
        <v>13</v>
      </c>
      <c r="E29" s="28" t="str">
        <f t="shared" si="13"/>
        <v>(,,,)</v>
      </c>
      <c r="F29" s="28" t="str">
        <f t="shared" si="14"/>
        <v/>
      </c>
      <c r="G29" s="28" t="str">
        <f>orig_tribal!K9</f>
        <v xml:space="preserve"> </v>
      </c>
      <c r="H29" s="28" t="str">
        <f>IF(orig_tribal!U9="b","†","")</f>
        <v/>
      </c>
      <c r="I29" s="28" t="str">
        <f>IF(orig_tribal!V9="d","§","")</f>
        <v/>
      </c>
      <c r="J29" s="28" t="str">
        <f>IF(orig_tribal!Y9="s", "s", "")</f>
        <v/>
      </c>
      <c r="K29" s="28">
        <f>orig_tribal!D9</f>
        <v>8.8945362135000003</v>
      </c>
      <c r="L29" s="28">
        <f t="shared" si="15"/>
        <v>8.7843833184999998</v>
      </c>
      <c r="M29" s="28">
        <f>orig_tribal!B9</f>
        <v>14</v>
      </c>
      <c r="P29" s="32"/>
      <c r="Q29" s="32"/>
    </row>
    <row r="30" spans="1:19" x14ac:dyDescent="0.3">
      <c r="A30" s="28">
        <v>7</v>
      </c>
      <c r="B30" s="35"/>
      <c r="C30" s="28" t="str">
        <f t="shared" si="12"/>
        <v xml:space="preserve">Dakota Ojibway TC (DOTC) </v>
      </c>
      <c r="D30" s="28" t="s">
        <v>93</v>
      </c>
      <c r="E30" s="28" t="str">
        <f t="shared" si="13"/>
        <v>(,,,)</v>
      </c>
      <c r="F30" s="28" t="str">
        <f t="shared" si="14"/>
        <v/>
      </c>
      <c r="G30" s="28" t="str">
        <f>orig_tribal!K13</f>
        <v xml:space="preserve"> </v>
      </c>
      <c r="H30" s="28" t="str">
        <f>IF(orig_tribal!U13="b","†","")</f>
        <v/>
      </c>
      <c r="I30" s="28" t="str">
        <f>IF(orig_tribal!V13="d","§","")</f>
        <v/>
      </c>
      <c r="J30" s="28" t="str">
        <f>IF(orig_tribal!Y13="s", "s", "")</f>
        <v/>
      </c>
      <c r="K30" s="28">
        <f>orig_tribal!D13</f>
        <v>10.282776350000001</v>
      </c>
      <c r="L30" s="28">
        <f t="shared" si="15"/>
        <v>8.7843833184999998</v>
      </c>
      <c r="M30" s="28">
        <f>orig_tribal!B13</f>
        <v>8</v>
      </c>
      <c r="P30" s="32"/>
      <c r="Q30" s="32"/>
    </row>
    <row r="31" spans="1:19" x14ac:dyDescent="0.3">
      <c r="A31" s="28">
        <v>8</v>
      </c>
      <c r="B31" s="35"/>
      <c r="C31" s="28" t="str">
        <f t="shared" si="12"/>
        <v xml:space="preserve">Southeast (SERDC) </v>
      </c>
      <c r="D31" s="28" t="s">
        <v>130</v>
      </c>
      <c r="E31" s="28" t="str">
        <f t="shared" si="13"/>
        <v>(,,,)</v>
      </c>
      <c r="F31" s="28" t="str">
        <f t="shared" si="14"/>
        <v/>
      </c>
      <c r="G31" s="28" t="str">
        <f>orig_tribal!K12</f>
        <v xml:space="preserve"> </v>
      </c>
      <c r="H31" s="28" t="str">
        <f>IF(orig_tribal!U12="b","†","")</f>
        <v/>
      </c>
      <c r="I31" s="28" t="str">
        <f>IF(orig_tribal!V12="d","§","")</f>
        <v/>
      </c>
      <c r="J31" s="28" t="str">
        <f>IF(orig_tribal!Y12="s", "s", "")</f>
        <v/>
      </c>
      <c r="K31" s="28">
        <f>orig_tribal!D12</f>
        <v>13.84083045</v>
      </c>
      <c r="L31" s="28">
        <f t="shared" si="15"/>
        <v>8.7843833184999998</v>
      </c>
      <c r="M31" s="28">
        <f>orig_tribal!B12</f>
        <v>12</v>
      </c>
      <c r="P31" s="32"/>
      <c r="Q31" s="32"/>
    </row>
    <row r="32" spans="1:19" x14ac:dyDescent="0.3">
      <c r="A32" s="28">
        <v>9</v>
      </c>
      <c r="B32" s="35"/>
      <c r="C32" s="28" t="str">
        <f t="shared" si="12"/>
        <v>Island Lake (ILTC) (§)</v>
      </c>
      <c r="D32" s="28" t="s">
        <v>90</v>
      </c>
      <c r="E32" s="28" t="str">
        <f t="shared" si="13"/>
        <v>(,,§,)</v>
      </c>
      <c r="F32" s="28" t="str">
        <f t="shared" si="14"/>
        <v>(§)</v>
      </c>
      <c r="G32" s="28" t="str">
        <f>orig_tribal!K11</f>
        <v xml:space="preserve"> </v>
      </c>
      <c r="H32" s="28" t="str">
        <f>IF(orig_tribal!U11="b","†","")</f>
        <v/>
      </c>
      <c r="I32" s="28" t="str">
        <f>IF(orig_tribal!V11="d","§","")</f>
        <v>§</v>
      </c>
      <c r="J32" s="28" t="str">
        <f>IF(orig_tribal!Y11="s", "s", "")</f>
        <v/>
      </c>
      <c r="K32" s="28">
        <f>orig_tribal!D11</f>
        <v>11.386470193999999</v>
      </c>
      <c r="L32" s="28">
        <f t="shared" si="15"/>
        <v>8.7843833184999998</v>
      </c>
      <c r="M32" s="28">
        <f>orig_tribal!B11</f>
        <v>17</v>
      </c>
      <c r="P32" s="32"/>
      <c r="Q32" s="32"/>
    </row>
    <row r="33" spans="1:17" x14ac:dyDescent="0.3">
      <c r="B33" s="28" t="s">
        <v>204</v>
      </c>
      <c r="C33" s="28" t="str">
        <f t="shared" ref="C33" si="16">CONCATENATE(D33,," ",F33)</f>
        <v xml:space="preserve">Non-affiliated </v>
      </c>
      <c r="D33" s="28" t="s">
        <v>56</v>
      </c>
      <c r="E33" s="28" t="str">
        <f t="shared" ref="E33" si="17">CONCATENATE("(",H33,",",H44,",",I33,",",I44,")")</f>
        <v>(,,,)</v>
      </c>
      <c r="F33" s="28" t="str">
        <f t="shared" ref="F33" si="18">SUBSTITUTE(SUBSTITUTE(SUBSTITUTE(SUBSTITUTE(SUBSTITUTE(SUBSTITUTE(SUBSTITUTE(E33,"(,,,)",""),",,",","),"(,,)",""),"(,,","("),",,)",")"),"(,","("),",)",")")</f>
        <v/>
      </c>
      <c r="G33" s="28" t="str">
        <f>orig_tribal!K14</f>
        <v xml:space="preserve"> </v>
      </c>
      <c r="H33" s="28" t="str">
        <f>IF(orig_tribal!U14="b","†","")</f>
        <v/>
      </c>
      <c r="I33" s="28" t="str">
        <f>IF(orig_tribal!V14="d","§","")</f>
        <v/>
      </c>
      <c r="J33" s="28" t="str">
        <f>IF(orig_tribal!Y14="s", "s", "")</f>
        <v>s</v>
      </c>
      <c r="K33" s="28" t="str">
        <f>orig_tribal!D14</f>
        <v xml:space="preserve"> </v>
      </c>
      <c r="L33" s="28">
        <f t="shared" ref="L33:L34" si="19">$K$34</f>
        <v>8.7843833184999998</v>
      </c>
      <c r="M33" s="28" t="str">
        <f>orig_tribal!B14</f>
        <v xml:space="preserve"> </v>
      </c>
      <c r="P33" s="32"/>
      <c r="Q33" s="32"/>
    </row>
    <row r="34" spans="1:17" s="33" customFormat="1" ht="15" thickBot="1" x14ac:dyDescent="0.35">
      <c r="B34" s="33" t="s">
        <v>204</v>
      </c>
      <c r="D34" s="33" t="s">
        <v>124</v>
      </c>
      <c r="E34" s="73"/>
      <c r="F34" s="73"/>
      <c r="G34" s="73"/>
      <c r="H34" s="73"/>
      <c r="I34" s="73"/>
      <c r="J34" s="73"/>
      <c r="K34" s="33">
        <f>orig_tribal!D15</f>
        <v>8.7843833184999998</v>
      </c>
      <c r="L34" s="33">
        <f t="shared" si="19"/>
        <v>8.7843833184999998</v>
      </c>
      <c r="M34" s="33">
        <f>orig_tribal!B15</f>
        <v>99</v>
      </c>
      <c r="P34" s="39"/>
      <c r="Q34" s="39"/>
    </row>
    <row r="35" spans="1:17" x14ac:dyDescent="0.3">
      <c r="A35" s="28">
        <v>1</v>
      </c>
      <c r="D35" s="28" t="s">
        <v>92</v>
      </c>
      <c r="E35" s="74"/>
      <c r="F35" s="74"/>
      <c r="G35" s="28" t="str">
        <f>orig_tribal!K16</f>
        <v xml:space="preserve"> </v>
      </c>
      <c r="H35" s="28" t="str">
        <f>IF(orig_tribal!U16="b","‡","")</f>
        <v/>
      </c>
      <c r="I35" s="88"/>
      <c r="J35" s="28" t="str">
        <f>IF(orig_tribal!Y16="s", "s", "")</f>
        <v>s</v>
      </c>
      <c r="K35" s="28" t="str">
        <f>orig_tribal!D16</f>
        <v xml:space="preserve"> </v>
      </c>
      <c r="L35" s="28">
        <f t="shared" ref="L35:L43" si="20">$K$45</f>
        <v>5.8381984986999997</v>
      </c>
      <c r="M35" s="28" t="str">
        <f>orig_tribal!B16</f>
        <v xml:space="preserve"> </v>
      </c>
      <c r="P35" s="32"/>
      <c r="Q35" s="32"/>
    </row>
    <row r="36" spans="1:17" x14ac:dyDescent="0.3">
      <c r="A36" s="28">
        <v>2</v>
      </c>
      <c r="D36" s="28" t="s">
        <v>94</v>
      </c>
      <c r="E36" s="74"/>
      <c r="F36" s="74"/>
      <c r="G36" s="28" t="str">
        <f>orig_tribal!K21</f>
        <v xml:space="preserve"> </v>
      </c>
      <c r="H36" s="28" t="str">
        <f>IF(orig_tribal!U21="b","‡","")</f>
        <v/>
      </c>
      <c r="I36" s="89"/>
      <c r="J36" s="28" t="str">
        <f>IF(orig_tribal!Y21="s", "s", "")</f>
        <v>s</v>
      </c>
      <c r="K36" s="28" t="str">
        <f>orig_tribal!D21</f>
        <v xml:space="preserve"> </v>
      </c>
      <c r="L36" s="28">
        <f t="shared" si="20"/>
        <v>5.8381984986999997</v>
      </c>
      <c r="M36" s="28" t="str">
        <f>orig_tribal!B21</f>
        <v xml:space="preserve"> </v>
      </c>
      <c r="P36" s="32"/>
      <c r="Q36" s="32"/>
    </row>
    <row r="37" spans="1:17" x14ac:dyDescent="0.3">
      <c r="A37" s="28">
        <v>3</v>
      </c>
      <c r="B37" s="35"/>
      <c r="D37" s="28" t="s">
        <v>12</v>
      </c>
      <c r="E37" s="74"/>
      <c r="F37" s="74"/>
      <c r="G37" s="28">
        <f>orig_tribal!K19</f>
        <v>1</v>
      </c>
      <c r="H37" s="28" t="str">
        <f>IF(orig_tribal!U19="b","‡","")</f>
        <v/>
      </c>
      <c r="I37" s="89"/>
      <c r="J37" s="28" t="str">
        <f>IF(orig_tribal!Y19="s", "s", "")</f>
        <v/>
      </c>
      <c r="K37" s="28">
        <f>orig_tribal!D19</f>
        <v>9.2783505154999997</v>
      </c>
      <c r="L37" s="28">
        <f t="shared" si="20"/>
        <v>5.8381984986999997</v>
      </c>
      <c r="M37" s="28">
        <f>orig_tribal!B19</f>
        <v>9</v>
      </c>
      <c r="P37" s="32"/>
      <c r="Q37" s="32"/>
    </row>
    <row r="38" spans="1:17" x14ac:dyDescent="0.3">
      <c r="A38" s="28">
        <v>4</v>
      </c>
      <c r="B38" s="35"/>
      <c r="D38" s="28" t="s">
        <v>91</v>
      </c>
      <c r="E38" s="74"/>
      <c r="F38" s="74"/>
      <c r="G38" s="28" t="str">
        <f>orig_tribal!K17</f>
        <v xml:space="preserve"> </v>
      </c>
      <c r="H38" s="28" t="str">
        <f>IF(orig_tribal!U17="b","‡","")</f>
        <v/>
      </c>
      <c r="I38" s="89"/>
      <c r="J38" s="28" t="str">
        <f>IF(orig_tribal!Y17="s", "s", "")</f>
        <v/>
      </c>
      <c r="K38" s="28">
        <f>orig_tribal!D17</f>
        <v>18.595041322</v>
      </c>
      <c r="L38" s="28">
        <f t="shared" si="20"/>
        <v>5.8381984986999997</v>
      </c>
      <c r="M38" s="28">
        <f>orig_tribal!B17</f>
        <v>9</v>
      </c>
      <c r="P38" s="32"/>
      <c r="Q38" s="32"/>
    </row>
    <row r="39" spans="1:17" x14ac:dyDescent="0.3">
      <c r="A39" s="28">
        <v>5</v>
      </c>
      <c r="D39" s="28" t="s">
        <v>89</v>
      </c>
      <c r="E39" s="74"/>
      <c r="F39" s="74"/>
      <c r="G39" s="28" t="str">
        <f>orig_tribal!K18</f>
        <v xml:space="preserve"> </v>
      </c>
      <c r="H39" s="28" t="str">
        <f>IF(orig_tribal!U18="b","‡","")</f>
        <v/>
      </c>
      <c r="I39" s="89"/>
      <c r="J39" s="28" t="str">
        <f>IF(orig_tribal!Y18="s", "s", "")</f>
        <v>s</v>
      </c>
      <c r="K39" s="28" t="str">
        <f>orig_tribal!D18</f>
        <v xml:space="preserve"> </v>
      </c>
      <c r="L39" s="28">
        <f t="shared" si="20"/>
        <v>5.8381984986999997</v>
      </c>
      <c r="M39" s="28" t="str">
        <f>orig_tribal!B18</f>
        <v xml:space="preserve"> </v>
      </c>
      <c r="P39" s="32"/>
      <c r="Q39" s="32"/>
    </row>
    <row r="40" spans="1:17" x14ac:dyDescent="0.3">
      <c r="A40" s="28">
        <v>6</v>
      </c>
      <c r="B40" s="63"/>
      <c r="D40" s="28" t="s">
        <v>13</v>
      </c>
      <c r="E40" s="74"/>
      <c r="F40" s="74"/>
      <c r="G40" s="28" t="str">
        <f>orig_tribal!K20</f>
        <v xml:space="preserve"> </v>
      </c>
      <c r="H40" s="28" t="str">
        <f>IF(orig_tribal!U20="b","‡","")</f>
        <v/>
      </c>
      <c r="I40" s="89"/>
      <c r="J40" s="28" t="str">
        <f>IF(orig_tribal!Y20="s", "s", "")</f>
        <v>s</v>
      </c>
      <c r="K40" s="28" t="str">
        <f>orig_tribal!D20</f>
        <v xml:space="preserve"> </v>
      </c>
      <c r="L40" s="28">
        <f t="shared" si="20"/>
        <v>5.8381984986999997</v>
      </c>
      <c r="M40" s="28" t="str">
        <f>orig_tribal!B20</f>
        <v xml:space="preserve"> </v>
      </c>
      <c r="P40" s="32"/>
      <c r="Q40" s="32"/>
    </row>
    <row r="41" spans="1:17" x14ac:dyDescent="0.3">
      <c r="A41" s="28">
        <v>7</v>
      </c>
      <c r="B41" s="35"/>
      <c r="D41" s="28" t="s">
        <v>93</v>
      </c>
      <c r="E41" s="74"/>
      <c r="F41" s="74"/>
      <c r="G41" s="28" t="str">
        <f>orig_tribal!K24</f>
        <v xml:space="preserve"> </v>
      </c>
      <c r="H41" s="28" t="str">
        <f>IF(orig_tribal!U24="b","‡","")</f>
        <v/>
      </c>
      <c r="I41" s="89"/>
      <c r="J41" s="28" t="str">
        <f>IF(orig_tribal!Y24="s", "s", "")</f>
        <v>s</v>
      </c>
      <c r="K41" s="28" t="str">
        <f>orig_tribal!D24</f>
        <v xml:space="preserve"> </v>
      </c>
      <c r="L41" s="28">
        <f t="shared" si="20"/>
        <v>5.8381984986999997</v>
      </c>
      <c r="M41" s="28" t="str">
        <f>orig_tribal!B24</f>
        <v xml:space="preserve"> </v>
      </c>
      <c r="P41" s="32"/>
      <c r="Q41" s="32"/>
    </row>
    <row r="42" spans="1:17" x14ac:dyDescent="0.3">
      <c r="A42" s="28">
        <v>8</v>
      </c>
      <c r="B42" s="35"/>
      <c r="D42" s="28" t="s">
        <v>130</v>
      </c>
      <c r="E42" s="74"/>
      <c r="F42" s="74"/>
      <c r="G42" s="28" t="str">
        <f>orig_tribal!K23</f>
        <v xml:space="preserve"> </v>
      </c>
      <c r="H42" s="28" t="str">
        <f>IF(orig_tribal!U23="b","‡","")</f>
        <v/>
      </c>
      <c r="I42" s="89"/>
      <c r="J42" s="28" t="str">
        <f>IF(orig_tribal!Y23="s", "s", "")</f>
        <v>s</v>
      </c>
      <c r="K42" s="28" t="str">
        <f>orig_tribal!D23</f>
        <v xml:space="preserve"> </v>
      </c>
      <c r="L42" s="28">
        <f t="shared" si="20"/>
        <v>5.8381984986999997</v>
      </c>
      <c r="M42" s="28" t="str">
        <f>orig_tribal!B23</f>
        <v xml:space="preserve"> </v>
      </c>
      <c r="P42" s="32"/>
      <c r="Q42" s="32"/>
    </row>
    <row r="43" spans="1:17" x14ac:dyDescent="0.3">
      <c r="A43" s="28">
        <v>9</v>
      </c>
      <c r="B43" s="35"/>
      <c r="D43" s="28" t="s">
        <v>90</v>
      </c>
      <c r="E43" s="74"/>
      <c r="F43" s="74"/>
      <c r="G43" s="28" t="str">
        <f>orig_tribal!K22</f>
        <v xml:space="preserve"> </v>
      </c>
      <c r="H43" s="28" t="str">
        <f>IF(orig_tribal!U22="b","‡","")</f>
        <v/>
      </c>
      <c r="I43" s="89"/>
      <c r="J43" s="28" t="str">
        <f>IF(orig_tribal!Y22="s", "s", "")</f>
        <v/>
      </c>
      <c r="K43" s="28">
        <f>orig_tribal!D22</f>
        <v>2.0274255000000001E-9</v>
      </c>
      <c r="L43" s="28">
        <f t="shared" si="20"/>
        <v>5.8381984986999997</v>
      </c>
      <c r="M43" s="28">
        <f>orig_tribal!B22</f>
        <v>0</v>
      </c>
      <c r="P43" s="32"/>
      <c r="Q43" s="32"/>
    </row>
    <row r="44" spans="1:17" x14ac:dyDescent="0.3">
      <c r="B44" s="28" t="s">
        <v>204</v>
      </c>
      <c r="D44" s="28" t="s">
        <v>56</v>
      </c>
      <c r="E44" s="74"/>
      <c r="F44" s="74"/>
      <c r="G44" s="28" t="str">
        <f>orig_tribal!K25</f>
        <v xml:space="preserve"> </v>
      </c>
      <c r="H44" s="28" t="str">
        <f>IF(orig_tribal!U25="b","‡","")</f>
        <v/>
      </c>
      <c r="I44" s="89"/>
      <c r="J44" s="28" t="str">
        <f>IF(orig_tribal!Y25="s", "s", "")</f>
        <v/>
      </c>
      <c r="K44" s="28">
        <f>orig_tribal!D25</f>
        <v>8.4250665000000007E-9</v>
      </c>
      <c r="L44" s="28">
        <f t="shared" ref="L44:L45" si="21">$K$45</f>
        <v>5.8381984986999997</v>
      </c>
      <c r="M44" s="28">
        <f>orig_tribal!B25</f>
        <v>0</v>
      </c>
      <c r="P44" s="32"/>
      <c r="Q44" s="32"/>
    </row>
    <row r="45" spans="1:17" s="33" customFormat="1" ht="15" thickBot="1" x14ac:dyDescent="0.35">
      <c r="B45" s="33" t="s">
        <v>204</v>
      </c>
      <c r="D45" s="33" t="s">
        <v>134</v>
      </c>
      <c r="E45" s="73"/>
      <c r="F45" s="73"/>
      <c r="G45" s="73"/>
      <c r="H45" s="73"/>
      <c r="I45" s="90"/>
      <c r="J45" s="73"/>
      <c r="K45" s="33">
        <f>orig_tribal!D26</f>
        <v>5.8381984986999997</v>
      </c>
      <c r="L45" s="33">
        <f t="shared" si="21"/>
        <v>5.8381984986999997</v>
      </c>
      <c r="M45" s="33">
        <f>orig_tribal!B26</f>
        <v>35</v>
      </c>
      <c r="P45" s="39"/>
      <c r="Q45" s="39"/>
    </row>
    <row r="47" spans="1:17" x14ac:dyDescent="0.3">
      <c r="B47" s="48" t="s">
        <v>144</v>
      </c>
      <c r="E47" s="30" t="s">
        <v>104</v>
      </c>
      <c r="H47" s="28" t="s">
        <v>4</v>
      </c>
      <c r="I47" s="28" t="s">
        <v>4</v>
      </c>
      <c r="M47" s="30" t="s">
        <v>2</v>
      </c>
      <c r="N47" s="30" t="s">
        <v>14</v>
      </c>
      <c r="O47" s="28" t="s">
        <v>105</v>
      </c>
      <c r="P47" s="28" t="s">
        <v>105</v>
      </c>
    </row>
    <row r="48" spans="1:17" x14ac:dyDescent="0.3">
      <c r="E48" s="29" t="s">
        <v>1</v>
      </c>
      <c r="F48" s="29"/>
      <c r="G48" s="31" t="s">
        <v>112</v>
      </c>
      <c r="H48" s="31" t="s">
        <v>113</v>
      </c>
      <c r="I48" s="31" t="s">
        <v>111</v>
      </c>
      <c r="J48" s="31" t="s">
        <v>114</v>
      </c>
      <c r="K48" s="31" t="s">
        <v>115</v>
      </c>
      <c r="L48" s="31" t="s">
        <v>116</v>
      </c>
      <c r="M48" s="28" t="s">
        <v>45</v>
      </c>
    </row>
    <row r="49" spans="2:14" x14ac:dyDescent="0.3">
      <c r="B49" s="28" t="s">
        <v>51</v>
      </c>
      <c r="C49" s="28" t="str">
        <f>CONCATENATE(D49," ",(IF(F49="()","",F49)))</f>
        <v xml:space="preserve">Urban Off-Reserve </v>
      </c>
      <c r="D49" s="28" t="s">
        <v>58</v>
      </c>
      <c r="E49" s="28" t="str">
        <f>CONCATENATE("(",G49,",",H49,")")</f>
        <v>(,)</v>
      </c>
      <c r="F49" s="28" t="str">
        <f>SUBSTITUTE(SUBSTITUTE(SUBSTITUTE(SUBSTITUTE(E49,"(,)",""),"()",""),"(,","("),",)",")")</f>
        <v/>
      </c>
      <c r="G49" s="28" t="str">
        <f>IF(orig_income!$P$8="o","1","")</f>
        <v/>
      </c>
      <c r="H49" s="28" t="str">
        <f>IF(orig_income!$P$12="o","2","")</f>
        <v/>
      </c>
      <c r="M49" s="28" t="str">
        <f>IF(orig_income!$Q$6="","",orig_income!$Q$6)</f>
        <v xml:space="preserve"> </v>
      </c>
      <c r="N49" s="28">
        <f>IF(M49="s","s",orig_income!$F$6)</f>
        <v>4.1122399613000002</v>
      </c>
    </row>
    <row r="50" spans="2:14" x14ac:dyDescent="0.3">
      <c r="C50" s="28" t="str">
        <f t="shared" ref="C50:C55" si="22">CONCATENATE(D50," ",(IF(F50="()","",F50)))</f>
        <v>Rural On-Reserve (4)</v>
      </c>
      <c r="D50" s="28" t="s">
        <v>59</v>
      </c>
      <c r="E50" s="28" t="str">
        <f>CONCATENATE("(",I50,",",J50,")")</f>
        <v>(,4)</v>
      </c>
      <c r="F50" s="28" t="str">
        <f t="shared" ref="F50:F51" si="23">SUBSTITUTE(SUBSTITUTE(SUBSTITUTE(SUBSTITUTE(E50,"(,)",""),"()",""),"(,","("),",)",")")</f>
        <v>(4)</v>
      </c>
      <c r="I50" s="28" t="str">
        <f>IF(orig_income!$O$13="r","3","")</f>
        <v/>
      </c>
      <c r="J50" s="28" t="str">
        <f>IF(orig_income!$O$17="r","4","")</f>
        <v>4</v>
      </c>
      <c r="M50" s="28" t="str">
        <f>IF(orig_income!$Q$5="","",orig_income!$Q$5)</f>
        <v xml:space="preserve"> </v>
      </c>
      <c r="N50" s="28">
        <f>IF(M50="s","s",orig_income!$F$5)</f>
        <v>8.7211889294000002</v>
      </c>
    </row>
    <row r="51" spans="2:14" x14ac:dyDescent="0.3">
      <c r="C51" s="28" t="str">
        <f t="shared" si="22"/>
        <v>Rural Off-Reserve (6)</v>
      </c>
      <c r="D51" s="28" t="s">
        <v>60</v>
      </c>
      <c r="E51" s="28" t="str">
        <f>CONCATENATE("(",K51,",",L51,,")")</f>
        <v>(,6)</v>
      </c>
      <c r="F51" s="28" t="str">
        <f t="shared" si="23"/>
        <v>(6)</v>
      </c>
      <c r="K51" s="28" t="str">
        <f>IF(orig_income!$P$13="o","5","")</f>
        <v/>
      </c>
      <c r="L51" s="28" t="str">
        <f>IF(orig_income!$P$17="o","6","")</f>
        <v>6</v>
      </c>
      <c r="M51" s="28" t="str">
        <f>IF(orig_income!$Q$7="","",orig_income!$Q$7)</f>
        <v xml:space="preserve"> </v>
      </c>
      <c r="N51" s="28">
        <f>IF(M51="s","s",orig_income!$F$7)</f>
        <v>9.2024539877000002</v>
      </c>
    </row>
    <row r="52" spans="2:14" x14ac:dyDescent="0.3">
      <c r="B52" s="28" t="s">
        <v>57</v>
      </c>
      <c r="C52" s="28" t="str">
        <f t="shared" si="22"/>
        <v xml:space="preserve">Lowest Urban </v>
      </c>
      <c r="D52" s="28" t="s">
        <v>125</v>
      </c>
      <c r="M52" s="28" t="str">
        <f>IF(orig_income!$Q$8="","",orig_income!$Q$8)</f>
        <v xml:space="preserve"> </v>
      </c>
      <c r="N52" s="28">
        <f>IF(M52="s","s",orig_income!$F$8)</f>
        <v>5.7259193281999998</v>
      </c>
    </row>
    <row r="53" spans="2:14" x14ac:dyDescent="0.3">
      <c r="C53" s="28" t="str">
        <f t="shared" si="22"/>
        <v xml:space="preserve">Highest Urban </v>
      </c>
      <c r="D53" s="28" t="s">
        <v>126</v>
      </c>
      <c r="M53" s="28" t="str">
        <f>IF(orig_income!$Q$12="","",orig_income!$Q$12)</f>
        <v xml:space="preserve"> </v>
      </c>
      <c r="N53" s="28">
        <f>IF(M53="s","s",orig_income!$F$12)</f>
        <v>3.0726686126999998</v>
      </c>
    </row>
    <row r="54" spans="2:14" x14ac:dyDescent="0.3">
      <c r="C54" s="28" t="str">
        <f t="shared" si="22"/>
        <v xml:space="preserve">Lowest Rural </v>
      </c>
      <c r="D54" s="28" t="s">
        <v>127</v>
      </c>
      <c r="M54" s="28" t="str">
        <f>IF(orig_income!$Q$13="","",orig_income!$Q$13)</f>
        <v xml:space="preserve"> </v>
      </c>
      <c r="N54" s="28">
        <f>IF(M54="s","s",orig_income!$F$13)</f>
        <v>6.8365444374999997</v>
      </c>
    </row>
    <row r="55" spans="2:14" x14ac:dyDescent="0.3">
      <c r="C55" s="28" t="str">
        <f t="shared" si="22"/>
        <v xml:space="preserve">Highest Rural </v>
      </c>
      <c r="D55" s="28" t="s">
        <v>128</v>
      </c>
      <c r="M55" s="28" t="str">
        <f>IF(orig_income!$Q$17="","",orig_income!$Q$17)</f>
        <v xml:space="preserve"> </v>
      </c>
      <c r="N55" s="28">
        <f>IF(M55="s","s",orig_income!$F$17)</f>
        <v>3.4747622531000002</v>
      </c>
    </row>
    <row r="56" spans="2:14" s="33" customFormat="1" ht="15" thickBot="1" x14ac:dyDescent="0.35"/>
    <row r="57" spans="2:14" x14ac:dyDescent="0.3">
      <c r="B57" s="48" t="s">
        <v>145</v>
      </c>
      <c r="E57" s="30" t="s">
        <v>104</v>
      </c>
      <c r="H57" s="28" t="s">
        <v>4</v>
      </c>
      <c r="J57" s="30" t="s">
        <v>2</v>
      </c>
      <c r="K57" s="30" t="s">
        <v>14</v>
      </c>
      <c r="L57" s="28" t="s">
        <v>105</v>
      </c>
      <c r="M57" s="28" t="s">
        <v>105</v>
      </c>
    </row>
    <row r="58" spans="2:14" x14ac:dyDescent="0.3">
      <c r="E58" s="29" t="s">
        <v>1</v>
      </c>
      <c r="F58" s="29"/>
      <c r="G58" s="31" t="s">
        <v>112</v>
      </c>
      <c r="H58" s="31" t="s">
        <v>111</v>
      </c>
      <c r="I58" s="31" t="s">
        <v>115</v>
      </c>
      <c r="J58" s="28" t="s">
        <v>45</v>
      </c>
    </row>
    <row r="59" spans="2:14" x14ac:dyDescent="0.3">
      <c r="B59" s="28" t="s">
        <v>51</v>
      </c>
      <c r="C59" s="28" t="str">
        <f>CONCATENATE(D59," ",(IF(F59="()","",F59)))</f>
        <v xml:space="preserve">Urban Off-Reserve </v>
      </c>
      <c r="D59" s="28" t="s">
        <v>58</v>
      </c>
      <c r="E59" s="28" t="str">
        <f>CONCATENATE("(",G59,")")</f>
        <v>()</v>
      </c>
      <c r="F59" s="28" t="str">
        <f>SUBSTITUTE(SUBSTITUTE(SUBSTITUTE(SUBSTITUTE(E59,"(,)",""),"()",""),"(,","("),",)",")")</f>
        <v/>
      </c>
      <c r="G59" s="28" t="str">
        <f>IF(orig_income!$P$8="o","1","")</f>
        <v/>
      </c>
      <c r="J59" s="28" t="str">
        <f>IF(orig_income!$Q$6="","",orig_income!$Q$6)</f>
        <v xml:space="preserve"> </v>
      </c>
      <c r="K59" s="28">
        <f>IF(J59="s","s",orig_income!$F$6)</f>
        <v>4.1122399613000002</v>
      </c>
    </row>
    <row r="60" spans="2:14" x14ac:dyDescent="0.3">
      <c r="C60" s="28" t="str">
        <f t="shared" ref="C60:C63" si="24">CONCATENATE(D60," ",(IF(F60="()","",F60)))</f>
        <v xml:space="preserve">Rural On-Reserve </v>
      </c>
      <c r="D60" s="28" t="s">
        <v>59</v>
      </c>
      <c r="E60" s="28" t="str">
        <f>CONCATENATE("(",H60,")")</f>
        <v>()</v>
      </c>
      <c r="F60" s="28" t="str">
        <f t="shared" ref="F60:F61" si="25">SUBSTITUTE(SUBSTITUTE(SUBSTITUTE(SUBSTITUTE(E60,"(,)",""),"()",""),"(,","("),",)",")")</f>
        <v/>
      </c>
      <c r="H60" s="28" t="str">
        <f>IF(orig_income!$O$13="r","2","")</f>
        <v/>
      </c>
      <c r="J60" s="28" t="str">
        <f>IF(orig_income!$Q$5="","",orig_income!$Q$5)</f>
        <v xml:space="preserve"> </v>
      </c>
      <c r="K60" s="28">
        <f>IF(J60="s","s",orig_income!$F$5)</f>
        <v>8.7211889294000002</v>
      </c>
    </row>
    <row r="61" spans="2:14" x14ac:dyDescent="0.3">
      <c r="C61" s="28" t="str">
        <f t="shared" si="24"/>
        <v xml:space="preserve">Rural Off-Reserve </v>
      </c>
      <c r="D61" s="28" t="s">
        <v>60</v>
      </c>
      <c r="E61" s="28" t="str">
        <f>CONCATENATE("(",I61,")")</f>
        <v>()</v>
      </c>
      <c r="F61" s="28" t="str">
        <f t="shared" si="25"/>
        <v/>
      </c>
      <c r="I61" s="28" t="str">
        <f>IF(orig_income!$P$13="o","3","")</f>
        <v/>
      </c>
      <c r="J61" s="28" t="str">
        <f>IF(orig_income!$Q$7="","",orig_income!$Q$7)</f>
        <v xml:space="preserve"> </v>
      </c>
      <c r="K61" s="28">
        <f>IF(J61="s","s",orig_income!$F$7)</f>
        <v>9.2024539877000002</v>
      </c>
    </row>
    <row r="62" spans="2:14" x14ac:dyDescent="0.3">
      <c r="B62" s="28" t="s">
        <v>57</v>
      </c>
      <c r="C62" s="28" t="str">
        <f t="shared" si="24"/>
        <v xml:space="preserve">Lowest Urban </v>
      </c>
      <c r="D62" s="28" t="s">
        <v>125</v>
      </c>
      <c r="J62" s="28" t="str">
        <f>IF(orig_income!$Q$8="","",orig_income!$Q$8)</f>
        <v xml:space="preserve"> </v>
      </c>
      <c r="K62" s="28">
        <f>IF(J62="s","s",orig_income!$F$8)</f>
        <v>5.7259193281999998</v>
      </c>
    </row>
    <row r="63" spans="2:14" x14ac:dyDescent="0.3">
      <c r="C63" s="28" t="str">
        <f t="shared" si="24"/>
        <v xml:space="preserve">Lowest Rural </v>
      </c>
      <c r="D63" s="28" t="s">
        <v>127</v>
      </c>
      <c r="J63" s="28" t="str">
        <f>IF(orig_income!$Q$13="","",orig_income!$Q$13)</f>
        <v xml:space="preserve"> </v>
      </c>
      <c r="K63" s="28">
        <f>IF(J63="s","s",orig_income!$F$13)</f>
        <v>6.8365444374999997</v>
      </c>
    </row>
  </sheetData>
  <sortState ref="A35:BS43">
    <sortCondition ref="A35:A43"/>
  </sortState>
  <pageMargins left="0.7" right="0.7" top="0.75" bottom="0.75" header="0.3" footer="0.3"/>
  <pageSetup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6"/>
  <sheetViews>
    <sheetView workbookViewId="0">
      <selection activeCell="A2" sqref="A2"/>
    </sheetView>
  </sheetViews>
  <sheetFormatPr defaultRowHeight="14.4" x14ac:dyDescent="0.3"/>
  <cols>
    <col min="1" max="1" width="18.5546875" customWidth="1"/>
    <col min="2" max="2" width="22.88671875" style="53" customWidth="1"/>
    <col min="3" max="3" width="11.6640625" style="53" customWidth="1"/>
    <col min="4" max="4" width="15.6640625" style="53" bestFit="1" customWidth="1"/>
    <col min="5" max="5" width="14" style="53" bestFit="1" customWidth="1"/>
    <col min="6" max="6" width="13.109375" style="53" bestFit="1" customWidth="1"/>
    <col min="7" max="7" width="13.5546875" style="53" bestFit="1" customWidth="1"/>
    <col min="8" max="8" width="12.44140625" style="53" bestFit="1" customWidth="1"/>
    <col min="9" max="9" width="11.6640625" style="53" bestFit="1" customWidth="1"/>
    <col min="10" max="10" width="12.33203125" style="53" customWidth="1"/>
    <col min="11" max="11" width="16.33203125" style="53" bestFit="1" customWidth="1"/>
    <col min="12" max="12" width="14.5546875" style="53" bestFit="1" customWidth="1"/>
    <col min="13" max="13" width="13.6640625" style="53" bestFit="1" customWidth="1"/>
    <col min="14" max="14" width="14.109375" style="53" bestFit="1" customWidth="1"/>
    <col min="15" max="15" width="13.109375" style="53" bestFit="1" customWidth="1"/>
    <col min="16" max="16" width="7.33203125" style="53" bestFit="1" customWidth="1"/>
    <col min="17" max="17" width="7.88671875" style="53" customWidth="1"/>
    <col min="18" max="22" width="12" style="53" bestFit="1" customWidth="1"/>
    <col min="23" max="23" width="10.44140625" style="53" bestFit="1" customWidth="1"/>
    <col min="24" max="24" width="11" style="53" bestFit="1" customWidth="1"/>
    <col min="25" max="25" width="15" style="53" bestFit="1" customWidth="1"/>
    <col min="26" max="26" width="13.33203125" style="53" bestFit="1" customWidth="1"/>
    <col min="27" max="27" width="12.33203125" style="53" bestFit="1" customWidth="1"/>
    <col min="28" max="28" width="12.6640625" style="53" bestFit="1" customWidth="1"/>
    <col min="29" max="29" width="12" style="53" bestFit="1" customWidth="1"/>
    <col min="30" max="30" width="17.6640625" style="53" bestFit="1" customWidth="1"/>
    <col min="31" max="31" width="16.44140625" style="53" bestFit="1" customWidth="1"/>
    <col min="32" max="32" width="17" style="53" bestFit="1" customWidth="1"/>
    <col min="33" max="33" width="16.109375" style="53" bestFit="1" customWidth="1"/>
    <col min="34" max="34" width="15.88671875" style="53" bestFit="1" customWidth="1"/>
    <col min="35" max="35" width="14.6640625" style="53" bestFit="1" customWidth="1"/>
    <col min="36" max="36" width="15.33203125" style="53" bestFit="1" customWidth="1"/>
    <col min="37" max="37" width="14.44140625" style="53" bestFit="1" customWidth="1"/>
    <col min="38" max="38" width="11.88671875" style="76" customWidth="1"/>
    <col min="39" max="39" width="12.44140625" style="76" customWidth="1"/>
    <col min="40" max="40" width="8" style="76" customWidth="1"/>
    <col min="41" max="41" width="11.109375" style="76" bestFit="1" customWidth="1"/>
    <col min="42" max="42" width="15.5546875" style="76" bestFit="1" customWidth="1"/>
    <col min="43" max="43" width="13.88671875" style="76" bestFit="1" customWidth="1"/>
    <col min="44" max="44" width="16.33203125" style="76" bestFit="1" customWidth="1"/>
    <col min="45" max="45" width="16.88671875" style="76" bestFit="1" customWidth="1"/>
    <col min="46" max="46" width="12.33203125" style="76" bestFit="1" customWidth="1"/>
    <col min="47" max="47" width="15.5546875" style="76" bestFit="1" customWidth="1"/>
    <col min="48" max="48" width="9.109375" style="16"/>
  </cols>
  <sheetData>
    <row r="1" spans="1:62" s="2" customFormat="1" x14ac:dyDescent="0.3">
      <c r="A1" s="2" t="s">
        <v>212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16"/>
    </row>
    <row r="2" spans="1:62" s="2" customFormat="1" x14ac:dyDescent="0.3"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16"/>
    </row>
    <row r="3" spans="1:62" s="16" customFormat="1" x14ac:dyDescent="0.3">
      <c r="A3" s="2" t="s">
        <v>213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  <c r="AR3" s="53"/>
      <c r="AS3" s="53"/>
      <c r="AT3" s="53"/>
      <c r="AU3" s="53"/>
    </row>
    <row r="4" spans="1:62" s="2" customFormat="1" x14ac:dyDescent="0.3">
      <c r="A4" s="2" t="s">
        <v>15</v>
      </c>
      <c r="B4" s="53" t="s">
        <v>214</v>
      </c>
      <c r="C4" s="53" t="s">
        <v>16</v>
      </c>
      <c r="D4" s="53" t="s">
        <v>18</v>
      </c>
      <c r="E4" s="53" t="s">
        <v>19</v>
      </c>
      <c r="F4" s="53" t="s">
        <v>20</v>
      </c>
      <c r="G4" s="53" t="s">
        <v>21</v>
      </c>
      <c r="H4" s="53" t="s">
        <v>17</v>
      </c>
      <c r="I4" s="53" t="s">
        <v>215</v>
      </c>
      <c r="J4" s="53" t="s">
        <v>22</v>
      </c>
      <c r="K4" s="53" t="s">
        <v>24</v>
      </c>
      <c r="L4" s="53" t="s">
        <v>25</v>
      </c>
      <c r="M4" s="53" t="s">
        <v>26</v>
      </c>
      <c r="N4" s="53" t="s">
        <v>27</v>
      </c>
      <c r="O4" s="53" t="s">
        <v>23</v>
      </c>
      <c r="P4" s="53" t="s">
        <v>216</v>
      </c>
      <c r="Q4" s="53" t="s">
        <v>28</v>
      </c>
      <c r="R4" s="53" t="s">
        <v>30</v>
      </c>
      <c r="S4" s="53" t="s">
        <v>31</v>
      </c>
      <c r="T4" s="53" t="s">
        <v>32</v>
      </c>
      <c r="U4" s="53" t="s">
        <v>33</v>
      </c>
      <c r="V4" s="53" t="s">
        <v>29</v>
      </c>
      <c r="W4" s="53" t="s">
        <v>217</v>
      </c>
      <c r="X4" s="53" t="s">
        <v>147</v>
      </c>
      <c r="Y4" s="53" t="s">
        <v>148</v>
      </c>
      <c r="Z4" s="53" t="s">
        <v>149</v>
      </c>
      <c r="AA4" s="53" t="s">
        <v>150</v>
      </c>
      <c r="AB4" s="53" t="s">
        <v>151</v>
      </c>
      <c r="AC4" s="53" t="s">
        <v>152</v>
      </c>
      <c r="AD4" s="53" t="s">
        <v>153</v>
      </c>
      <c r="AE4" s="53" t="s">
        <v>154</v>
      </c>
      <c r="AF4" s="53" t="s">
        <v>155</v>
      </c>
      <c r="AG4" s="53" t="s">
        <v>156</v>
      </c>
      <c r="AH4" s="53" t="s">
        <v>35</v>
      </c>
      <c r="AI4" s="53" t="s">
        <v>36</v>
      </c>
      <c r="AJ4" s="53" t="s">
        <v>37</v>
      </c>
      <c r="AK4" s="53" t="s">
        <v>34</v>
      </c>
      <c r="AL4" s="53" t="s">
        <v>38</v>
      </c>
      <c r="AM4" s="53" t="s">
        <v>39</v>
      </c>
      <c r="AN4" s="53" t="s">
        <v>40</v>
      </c>
      <c r="AO4" s="53" t="s">
        <v>157</v>
      </c>
      <c r="AP4" s="53" t="s">
        <v>158</v>
      </c>
      <c r="AQ4" s="53" t="s">
        <v>41</v>
      </c>
      <c r="AR4" s="53" t="s">
        <v>42</v>
      </c>
      <c r="AS4" s="53" t="s">
        <v>43</v>
      </c>
      <c r="AT4" s="53" t="s">
        <v>44</v>
      </c>
      <c r="AU4" s="53" t="s">
        <v>159</v>
      </c>
      <c r="AV4" s="16"/>
    </row>
    <row r="5" spans="1:62" s="2" customFormat="1" x14ac:dyDescent="0.3">
      <c r="A5" s="2" t="s">
        <v>71</v>
      </c>
      <c r="B5" s="53">
        <v>12</v>
      </c>
      <c r="C5" s="53">
        <v>1141</v>
      </c>
      <c r="D5" s="53">
        <v>10.517090272000001</v>
      </c>
      <c r="E5" s="53">
        <v>1.1972485592</v>
      </c>
      <c r="F5" s="53">
        <v>7.0243459300000005E-2</v>
      </c>
      <c r="G5" s="53">
        <v>20.406228943999999</v>
      </c>
      <c r="H5" s="53">
        <v>0.90097922289999999</v>
      </c>
      <c r="I5" s="53" t="s">
        <v>45</v>
      </c>
      <c r="J5" s="53" t="s">
        <v>45</v>
      </c>
      <c r="K5" s="53" t="s">
        <v>45</v>
      </c>
      <c r="L5" s="53" t="s">
        <v>45</v>
      </c>
      <c r="M5" s="53" t="s">
        <v>45</v>
      </c>
      <c r="N5" s="53" t="s">
        <v>45</v>
      </c>
      <c r="O5" s="53" t="s">
        <v>45</v>
      </c>
      <c r="P5" s="53">
        <v>13</v>
      </c>
      <c r="Q5" s="53">
        <v>1547</v>
      </c>
      <c r="R5" s="53">
        <v>8.4033613445000004</v>
      </c>
      <c r="S5" s="53">
        <v>1.086548488</v>
      </c>
      <c r="T5" s="53">
        <v>6.4148041399999994E-2</v>
      </c>
      <c r="U5" s="53">
        <v>18.404110112000001</v>
      </c>
      <c r="V5" s="53">
        <v>0.9541500289</v>
      </c>
      <c r="W5" s="53">
        <v>44</v>
      </c>
      <c r="X5" s="53">
        <v>13042</v>
      </c>
      <c r="Y5" s="53">
        <v>3.3737156877999999</v>
      </c>
      <c r="Z5" s="53">
        <v>0.85945407149999997</v>
      </c>
      <c r="AA5" s="53">
        <v>5.2771051999999999E-2</v>
      </c>
      <c r="AB5" s="53">
        <v>13.997471595</v>
      </c>
      <c r="AC5" s="53">
        <v>0.91527624939999996</v>
      </c>
      <c r="AD5" s="53">
        <v>2.4908326967000001</v>
      </c>
      <c r="AE5" s="53">
        <v>0.1455254755</v>
      </c>
      <c r="AF5" s="53">
        <v>42.633411795000001</v>
      </c>
      <c r="AG5" s="75">
        <v>0.52881363859999997</v>
      </c>
      <c r="AH5" s="53">
        <v>4.2699386503000003</v>
      </c>
      <c r="AI5" s="53">
        <v>0.13669758630000001</v>
      </c>
      <c r="AJ5" s="53">
        <v>133.37745430999999</v>
      </c>
      <c r="AK5" s="53">
        <v>0.40841940119999998</v>
      </c>
      <c r="AL5" s="53" t="s">
        <v>45</v>
      </c>
      <c r="AM5" s="53" t="s">
        <v>45</v>
      </c>
      <c r="AN5" s="53" t="s">
        <v>45</v>
      </c>
      <c r="AO5" s="53" t="s">
        <v>45</v>
      </c>
      <c r="AP5" s="53" t="s">
        <v>45</v>
      </c>
      <c r="AQ5" s="53" t="s">
        <v>45</v>
      </c>
      <c r="AR5" s="53" t="s">
        <v>45</v>
      </c>
      <c r="AS5" s="53" t="s">
        <v>172</v>
      </c>
      <c r="AT5" s="53" t="s">
        <v>45</v>
      </c>
      <c r="AU5" s="53" t="s">
        <v>45</v>
      </c>
      <c r="AV5" s="16"/>
    </row>
    <row r="6" spans="1:62" s="2" customFormat="1" x14ac:dyDescent="0.3">
      <c r="A6" s="2" t="s">
        <v>72</v>
      </c>
      <c r="B6" s="53" t="s">
        <v>45</v>
      </c>
      <c r="C6" s="53" t="s">
        <v>45</v>
      </c>
      <c r="D6" s="53" t="s">
        <v>45</v>
      </c>
      <c r="E6" s="53" t="s">
        <v>45</v>
      </c>
      <c r="F6" s="53" t="s">
        <v>45</v>
      </c>
      <c r="G6" s="53" t="s">
        <v>45</v>
      </c>
      <c r="H6" s="53" t="s">
        <v>45</v>
      </c>
      <c r="I6" s="53">
        <v>16</v>
      </c>
      <c r="J6" s="53">
        <v>3792</v>
      </c>
      <c r="K6" s="53">
        <v>4.2194092827</v>
      </c>
      <c r="L6" s="53">
        <v>0.71552298469999998</v>
      </c>
      <c r="M6" s="53">
        <v>4.2111864200000002E-2</v>
      </c>
      <c r="N6" s="53">
        <v>12.157456125</v>
      </c>
      <c r="O6" s="53">
        <v>0.81684000609999996</v>
      </c>
      <c r="P6" s="53">
        <v>16</v>
      </c>
      <c r="Q6" s="53">
        <v>3792</v>
      </c>
      <c r="R6" s="53">
        <v>4.2194092827</v>
      </c>
      <c r="S6" s="53">
        <v>0.54556654039999997</v>
      </c>
      <c r="T6" s="53">
        <v>3.2526800699999997E-2</v>
      </c>
      <c r="U6" s="53">
        <v>9.1506955289</v>
      </c>
      <c r="V6" s="75">
        <v>0.67363004950000005</v>
      </c>
      <c r="W6" s="53">
        <v>140</v>
      </c>
      <c r="X6" s="53">
        <v>34396</v>
      </c>
      <c r="Y6" s="53">
        <v>4.0702407256999997</v>
      </c>
      <c r="Z6" s="53">
        <v>1.0368938248999999</v>
      </c>
      <c r="AA6" s="53">
        <v>6.4353959299999999E-2</v>
      </c>
      <c r="AB6" s="53">
        <v>16.706801205000001</v>
      </c>
      <c r="AC6" s="75">
        <v>0.97961909189999996</v>
      </c>
      <c r="AD6" s="53">
        <v>1.0366485835000001</v>
      </c>
      <c r="AE6" s="53">
        <v>6.18118088E-2</v>
      </c>
      <c r="AF6" s="53">
        <v>17.385679314000001</v>
      </c>
      <c r="AG6" s="75">
        <v>0.98003979379999995</v>
      </c>
      <c r="AH6" s="53" t="s">
        <v>45</v>
      </c>
      <c r="AI6" s="53" t="s">
        <v>45</v>
      </c>
      <c r="AJ6" s="53" t="s">
        <v>45</v>
      </c>
      <c r="AK6" s="53" t="s">
        <v>45</v>
      </c>
      <c r="AL6" s="53" t="s">
        <v>45</v>
      </c>
      <c r="AM6" s="53" t="s">
        <v>45</v>
      </c>
      <c r="AN6" s="53" t="s">
        <v>45</v>
      </c>
      <c r="AO6" s="53" t="s">
        <v>45</v>
      </c>
      <c r="AP6" s="53" t="s">
        <v>45</v>
      </c>
      <c r="AQ6" s="53" t="s">
        <v>45</v>
      </c>
      <c r="AR6" s="53" t="s">
        <v>45</v>
      </c>
      <c r="AS6" s="53" t="s">
        <v>45</v>
      </c>
      <c r="AT6" s="53" t="s">
        <v>45</v>
      </c>
      <c r="AU6" s="53" t="s">
        <v>45</v>
      </c>
      <c r="AV6" s="16"/>
    </row>
    <row r="7" spans="1:62" s="2" customFormat="1" x14ac:dyDescent="0.3">
      <c r="A7" s="2" t="s">
        <v>73</v>
      </c>
      <c r="B7" s="53">
        <v>12</v>
      </c>
      <c r="C7" s="53">
        <v>1113</v>
      </c>
      <c r="D7" s="53">
        <v>10.781671159</v>
      </c>
      <c r="E7" s="53">
        <v>1.2273680198000001</v>
      </c>
      <c r="F7" s="53">
        <v>7.2010590400000005E-2</v>
      </c>
      <c r="G7" s="53">
        <v>20.919593194000001</v>
      </c>
      <c r="H7" s="53">
        <v>0.8873985942</v>
      </c>
      <c r="I7" s="53" t="s">
        <v>45</v>
      </c>
      <c r="J7" s="53" t="s">
        <v>45</v>
      </c>
      <c r="K7" s="53" t="s">
        <v>45</v>
      </c>
      <c r="L7" s="53" t="s">
        <v>45</v>
      </c>
      <c r="M7" s="53" t="s">
        <v>45</v>
      </c>
      <c r="N7" s="53" t="s">
        <v>45</v>
      </c>
      <c r="O7" s="53" t="s">
        <v>45</v>
      </c>
      <c r="P7" s="53">
        <v>16</v>
      </c>
      <c r="Q7" s="53">
        <v>1897</v>
      </c>
      <c r="R7" s="53">
        <v>8.4343700580000007</v>
      </c>
      <c r="S7" s="53">
        <v>1.0905578920000001</v>
      </c>
      <c r="T7" s="53">
        <v>6.5019308600000006E-2</v>
      </c>
      <c r="U7" s="53">
        <v>18.291743514</v>
      </c>
      <c r="V7" s="53">
        <v>0.95195157409999998</v>
      </c>
      <c r="W7" s="53">
        <v>38</v>
      </c>
      <c r="X7" s="53">
        <v>8454</v>
      </c>
      <c r="Y7" s="53">
        <v>4.4949136503</v>
      </c>
      <c r="Z7" s="53">
        <v>1.1450792524</v>
      </c>
      <c r="AA7" s="53">
        <v>7.0135245600000007E-2</v>
      </c>
      <c r="AB7" s="53">
        <v>18.695400331999998</v>
      </c>
      <c r="AC7" s="75">
        <v>0.9242558072</v>
      </c>
      <c r="AD7" s="53">
        <v>1.8764253808</v>
      </c>
      <c r="AE7" s="53">
        <v>0.1104363837</v>
      </c>
      <c r="AF7" s="53">
        <v>31.882357000999999</v>
      </c>
      <c r="AG7" s="75">
        <v>0.66322368139999999</v>
      </c>
      <c r="AH7" s="53">
        <v>2.1132075472</v>
      </c>
      <c r="AI7" s="53">
        <v>0.1058547421</v>
      </c>
      <c r="AJ7" s="53">
        <v>42.186547781000002</v>
      </c>
      <c r="AK7" s="53">
        <v>0.62426380240000001</v>
      </c>
      <c r="AL7" s="53" t="s">
        <v>45</v>
      </c>
      <c r="AM7" s="53" t="s">
        <v>45</v>
      </c>
      <c r="AN7" s="53" t="s">
        <v>45</v>
      </c>
      <c r="AO7" s="53" t="s">
        <v>45</v>
      </c>
      <c r="AP7" s="53" t="s">
        <v>45</v>
      </c>
      <c r="AQ7" s="53" t="s">
        <v>45</v>
      </c>
      <c r="AR7" s="53" t="s">
        <v>45</v>
      </c>
      <c r="AS7" s="53" t="s">
        <v>172</v>
      </c>
      <c r="AT7" s="53" t="s">
        <v>45</v>
      </c>
      <c r="AU7" s="53" t="s">
        <v>45</v>
      </c>
      <c r="AV7" s="16"/>
    </row>
    <row r="8" spans="1:62" s="2" customFormat="1" x14ac:dyDescent="0.3">
      <c r="A8" s="2" t="s">
        <v>74</v>
      </c>
      <c r="B8" s="53">
        <v>28</v>
      </c>
      <c r="C8" s="53">
        <v>2682</v>
      </c>
      <c r="D8" s="53">
        <v>10.439970172000001</v>
      </c>
      <c r="E8" s="53">
        <v>1.1884693315999999</v>
      </c>
      <c r="F8" s="53">
        <v>7.2027342199999997E-2</v>
      </c>
      <c r="G8" s="53">
        <v>19.610044022</v>
      </c>
      <c r="H8" s="53">
        <v>0.90391393959999999</v>
      </c>
      <c r="I8" s="53">
        <v>0</v>
      </c>
      <c r="J8" s="53">
        <v>373</v>
      </c>
      <c r="K8" s="77">
        <v>6.7678379000000002E-9</v>
      </c>
      <c r="L8" s="77">
        <v>1.1476828E-9</v>
      </c>
      <c r="M8" s="53">
        <v>0</v>
      </c>
      <c r="N8" s="53" t="s">
        <v>218</v>
      </c>
      <c r="O8" s="53">
        <v>0.99917475820000001</v>
      </c>
      <c r="P8" s="53">
        <v>28</v>
      </c>
      <c r="Q8" s="53">
        <v>3055</v>
      </c>
      <c r="R8" s="53">
        <v>9.1653027822999995</v>
      </c>
      <c r="S8" s="53">
        <v>1.1850669598000001</v>
      </c>
      <c r="T8" s="53">
        <v>7.1959189300000004E-2</v>
      </c>
      <c r="U8" s="53">
        <v>19.516391349999999</v>
      </c>
      <c r="V8" s="53">
        <v>0.90543732450000003</v>
      </c>
      <c r="W8" s="53">
        <v>12</v>
      </c>
      <c r="X8" s="53">
        <v>4756</v>
      </c>
      <c r="Y8" s="53">
        <v>2.5231286796000001</v>
      </c>
      <c r="Z8" s="53">
        <v>0.6427670311</v>
      </c>
      <c r="AA8" s="53">
        <v>3.7865362899999998E-2</v>
      </c>
      <c r="AB8" s="53">
        <v>10.911012715</v>
      </c>
      <c r="AC8" s="53">
        <v>0.7596753892</v>
      </c>
      <c r="AD8" s="53">
        <v>3.6325150026999999</v>
      </c>
      <c r="AE8" s="53">
        <v>0.2094679961</v>
      </c>
      <c r="AF8" s="53">
        <v>62.993705437000003</v>
      </c>
      <c r="AG8" s="75">
        <v>0.37555105729999999</v>
      </c>
      <c r="AH8" s="53">
        <v>1542585725</v>
      </c>
      <c r="AI8" s="53">
        <v>0</v>
      </c>
      <c r="AJ8" s="53" t="s">
        <v>218</v>
      </c>
      <c r="AK8" s="75">
        <v>0.99915185939999995</v>
      </c>
      <c r="AL8" s="53" t="s">
        <v>45</v>
      </c>
      <c r="AM8" s="53" t="s">
        <v>45</v>
      </c>
      <c r="AN8" s="53" t="s">
        <v>45</v>
      </c>
      <c r="AO8" s="53" t="s">
        <v>45</v>
      </c>
      <c r="AP8" s="53" t="s">
        <v>45</v>
      </c>
      <c r="AQ8" s="53" t="s">
        <v>45</v>
      </c>
      <c r="AR8" s="53" t="s">
        <v>45</v>
      </c>
      <c r="AS8" s="53" t="s">
        <v>45</v>
      </c>
      <c r="AT8" s="53" t="s">
        <v>45</v>
      </c>
      <c r="AU8" s="53" t="s">
        <v>45</v>
      </c>
      <c r="AV8" s="16"/>
    </row>
    <row r="9" spans="1:62" s="2" customFormat="1" x14ac:dyDescent="0.3">
      <c r="A9" s="2" t="s">
        <v>75</v>
      </c>
      <c r="B9" s="53">
        <v>47</v>
      </c>
      <c r="C9" s="53">
        <v>6334</v>
      </c>
      <c r="D9" s="53">
        <v>7.4202715503999999</v>
      </c>
      <c r="E9" s="53">
        <v>0.84471172090000002</v>
      </c>
      <c r="F9" s="53">
        <v>5.1703692900000001E-2</v>
      </c>
      <c r="G9" s="53">
        <v>13.800520841000001</v>
      </c>
      <c r="H9" s="53">
        <v>0.90574594210000003</v>
      </c>
      <c r="I9" s="53">
        <v>17</v>
      </c>
      <c r="J9" s="53">
        <v>1072</v>
      </c>
      <c r="K9" s="53">
        <v>15.858208955</v>
      </c>
      <c r="L9" s="53">
        <v>2.6892183817999999</v>
      </c>
      <c r="M9" s="53">
        <v>0.158668262</v>
      </c>
      <c r="N9" s="53">
        <v>45.578715082999999</v>
      </c>
      <c r="O9" s="53">
        <v>0.49329593970000002</v>
      </c>
      <c r="P9" s="53">
        <v>64</v>
      </c>
      <c r="Q9" s="53">
        <v>7406</v>
      </c>
      <c r="R9" s="53">
        <v>8.6416419120000008</v>
      </c>
      <c r="S9" s="53">
        <v>1.1173579914</v>
      </c>
      <c r="T9" s="53">
        <v>6.8791104199999994E-2</v>
      </c>
      <c r="U9" s="53">
        <v>18.148987368</v>
      </c>
      <c r="V9" s="53">
        <v>0.93781243820000004</v>
      </c>
      <c r="W9" s="53">
        <v>9</v>
      </c>
      <c r="X9" s="53">
        <v>1452</v>
      </c>
      <c r="Y9" s="53">
        <v>6.1983471074000001</v>
      </c>
      <c r="Z9" s="53">
        <v>1.5790289256000001</v>
      </c>
      <c r="AA9" s="53">
        <v>9.1289959200000007E-2</v>
      </c>
      <c r="AB9" s="53">
        <v>27.312229850000001</v>
      </c>
      <c r="AC9" s="75">
        <v>0.75345001869999995</v>
      </c>
      <c r="AD9" s="53">
        <v>1.3941848951</v>
      </c>
      <c r="AE9" s="53">
        <v>7.9980624200000003E-2</v>
      </c>
      <c r="AF9" s="53">
        <v>24.302780087999999</v>
      </c>
      <c r="AG9" s="75">
        <v>0.81974755990000003</v>
      </c>
      <c r="AH9" s="53">
        <v>0.4679135942</v>
      </c>
      <c r="AI9" s="53">
        <v>2.77022977E-2</v>
      </c>
      <c r="AJ9" s="53">
        <v>7.9034285868999996</v>
      </c>
      <c r="AK9" s="75">
        <v>0.59848101040000001</v>
      </c>
      <c r="AL9" s="53" t="s">
        <v>45</v>
      </c>
      <c r="AM9" s="53" t="s">
        <v>45</v>
      </c>
      <c r="AN9" s="53" t="s">
        <v>45</v>
      </c>
      <c r="AO9" s="53" t="s">
        <v>45</v>
      </c>
      <c r="AP9" s="53" t="s">
        <v>45</v>
      </c>
      <c r="AQ9" s="53" t="s">
        <v>45</v>
      </c>
      <c r="AR9" s="53" t="s">
        <v>45</v>
      </c>
      <c r="AS9" s="53" t="s">
        <v>45</v>
      </c>
      <c r="AT9" s="53" t="s">
        <v>45</v>
      </c>
      <c r="AU9" s="53" t="s">
        <v>45</v>
      </c>
      <c r="AV9" s="16"/>
    </row>
    <row r="10" spans="1:62" s="2" customFormat="1" x14ac:dyDescent="0.3">
      <c r="A10" s="2" t="s">
        <v>160</v>
      </c>
      <c r="B10" s="53" t="s">
        <v>45</v>
      </c>
      <c r="C10" s="53" t="s">
        <v>45</v>
      </c>
      <c r="D10" s="53" t="s">
        <v>45</v>
      </c>
      <c r="E10" s="53" t="s">
        <v>45</v>
      </c>
      <c r="F10" s="53" t="s">
        <v>45</v>
      </c>
      <c r="G10" s="53" t="s">
        <v>45</v>
      </c>
      <c r="H10" s="53" t="s">
        <v>45</v>
      </c>
      <c r="I10" s="53">
        <v>0</v>
      </c>
      <c r="J10" s="53">
        <v>17</v>
      </c>
      <c r="K10" s="75">
        <v>1.4849433000000001E-7</v>
      </c>
      <c r="L10" s="75">
        <v>2.5181512E-8</v>
      </c>
      <c r="M10" s="53">
        <v>0</v>
      </c>
      <c r="N10" s="53" t="s">
        <v>218</v>
      </c>
      <c r="O10" s="75">
        <v>0.99929856589999999</v>
      </c>
      <c r="P10" s="53">
        <v>0</v>
      </c>
      <c r="Q10" s="53">
        <v>17</v>
      </c>
      <c r="R10" s="75">
        <v>1.4849433000000001E-7</v>
      </c>
      <c r="S10" s="75">
        <v>1.9200208E-8</v>
      </c>
      <c r="T10" s="53">
        <v>0</v>
      </c>
      <c r="U10" s="53" t="s">
        <v>218</v>
      </c>
      <c r="V10" s="75">
        <v>0.99928769439999998</v>
      </c>
      <c r="W10" s="53" t="s">
        <v>45</v>
      </c>
      <c r="X10" s="53" t="s">
        <v>45</v>
      </c>
      <c r="Y10" s="53" t="s">
        <v>45</v>
      </c>
      <c r="Z10" s="53" t="s">
        <v>45</v>
      </c>
      <c r="AA10" s="53" t="s">
        <v>45</v>
      </c>
      <c r="AB10" s="53" t="s">
        <v>45</v>
      </c>
      <c r="AC10" s="75" t="s">
        <v>45</v>
      </c>
      <c r="AD10" s="75">
        <v>8.7611651999999996E-9</v>
      </c>
      <c r="AE10" s="53">
        <v>0</v>
      </c>
      <c r="AF10" s="53" t="s">
        <v>218</v>
      </c>
      <c r="AG10" s="53">
        <v>0.99925624130000001</v>
      </c>
      <c r="AH10" s="53" t="s">
        <v>45</v>
      </c>
      <c r="AI10" s="53" t="s">
        <v>45</v>
      </c>
      <c r="AJ10" s="53" t="s">
        <v>45</v>
      </c>
      <c r="AK10" s="53" t="s">
        <v>45</v>
      </c>
      <c r="AL10" s="53" t="s">
        <v>45</v>
      </c>
      <c r="AM10" s="53" t="s">
        <v>45</v>
      </c>
      <c r="AN10" s="53" t="s">
        <v>45</v>
      </c>
      <c r="AO10" s="53" t="s">
        <v>45</v>
      </c>
      <c r="AP10" s="53" t="s">
        <v>45</v>
      </c>
      <c r="AQ10" s="53" t="s">
        <v>45</v>
      </c>
      <c r="AR10" s="53" t="s">
        <v>45</v>
      </c>
      <c r="AS10" s="53" t="s">
        <v>45</v>
      </c>
      <c r="AT10" s="53" t="s">
        <v>45</v>
      </c>
      <c r="AU10" s="53" t="s">
        <v>172</v>
      </c>
      <c r="AV10" s="16"/>
    </row>
    <row r="11" spans="1:62" x14ac:dyDescent="0.3">
      <c r="A11" s="2" t="s">
        <v>46</v>
      </c>
      <c r="B11" s="53">
        <v>99</v>
      </c>
      <c r="C11" s="53">
        <v>11270</v>
      </c>
      <c r="D11" s="53">
        <v>8.7843833184999998</v>
      </c>
      <c r="E11" s="53" t="s">
        <v>45</v>
      </c>
      <c r="F11" s="53" t="s">
        <v>45</v>
      </c>
      <c r="G11" s="53" t="s">
        <v>45</v>
      </c>
      <c r="H11" s="53" t="s">
        <v>45</v>
      </c>
      <c r="I11" s="53">
        <v>38</v>
      </c>
      <c r="J11" s="53">
        <v>6444</v>
      </c>
      <c r="K11" s="53">
        <v>5.8969584108999999</v>
      </c>
      <c r="L11" s="53" t="s">
        <v>45</v>
      </c>
      <c r="M11" s="53" t="s">
        <v>45</v>
      </c>
      <c r="N11" s="53" t="s">
        <v>45</v>
      </c>
      <c r="O11" s="53" t="s">
        <v>45</v>
      </c>
      <c r="P11" s="53">
        <v>137</v>
      </c>
      <c r="Q11" s="53">
        <v>17714</v>
      </c>
      <c r="R11" s="53">
        <v>7.7339957096000003</v>
      </c>
      <c r="S11" s="53" t="s">
        <v>45</v>
      </c>
      <c r="T11" s="53" t="s">
        <v>45</v>
      </c>
      <c r="U11" s="53" t="s">
        <v>45</v>
      </c>
      <c r="V11" s="53" t="s">
        <v>45</v>
      </c>
      <c r="W11" s="53">
        <v>244</v>
      </c>
      <c r="X11" s="53">
        <v>62159</v>
      </c>
      <c r="Y11" s="53">
        <v>3.9254170756</v>
      </c>
      <c r="Z11" s="53" t="s">
        <v>45</v>
      </c>
      <c r="AA11" s="53" t="s">
        <v>45</v>
      </c>
      <c r="AB11" s="53" t="s">
        <v>45</v>
      </c>
      <c r="AC11" s="53" t="s">
        <v>45</v>
      </c>
      <c r="AD11" s="53">
        <v>1.9702354070000001</v>
      </c>
      <c r="AE11" s="53">
        <v>0.1222678185</v>
      </c>
      <c r="AF11" s="53">
        <v>31.748563172000001</v>
      </c>
      <c r="AG11" s="75">
        <v>0.63253202210000004</v>
      </c>
      <c r="AH11" s="53">
        <v>1.4896464763999999</v>
      </c>
      <c r="AI11" s="53">
        <v>9.0864120199999995E-2</v>
      </c>
      <c r="AJ11" s="53">
        <v>24.421593700999999</v>
      </c>
      <c r="AK11" s="75">
        <v>0.78003120319999997</v>
      </c>
      <c r="AL11" s="53" t="s">
        <v>45</v>
      </c>
      <c r="AM11" s="53" t="s">
        <v>45</v>
      </c>
      <c r="AN11" s="53" t="s">
        <v>45</v>
      </c>
      <c r="AO11" s="53" t="s">
        <v>45</v>
      </c>
      <c r="AP11" s="53" t="s">
        <v>45</v>
      </c>
      <c r="AQ11" s="53" t="s">
        <v>45</v>
      </c>
      <c r="AR11" s="53" t="s">
        <v>45</v>
      </c>
      <c r="AS11" s="53" t="s">
        <v>45</v>
      </c>
      <c r="AT11" s="53" t="s">
        <v>45</v>
      </c>
      <c r="AU11" s="53" t="s">
        <v>45</v>
      </c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</row>
    <row r="12" spans="1:62" x14ac:dyDescent="0.3">
      <c r="A12" s="2"/>
      <c r="AD12" s="75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</row>
    <row r="13" spans="1:62" x14ac:dyDescent="0.3">
      <c r="A13" s="2"/>
      <c r="B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</row>
    <row r="14" spans="1:62" x14ac:dyDescent="0.3">
      <c r="A14" s="2"/>
      <c r="B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</row>
    <row r="15" spans="1:62" x14ac:dyDescent="0.3">
      <c r="A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</row>
    <row r="16" spans="1:62" x14ac:dyDescent="0.3">
      <c r="AL16" s="53"/>
      <c r="AM16" s="53"/>
      <c r="AN16" s="53"/>
      <c r="AO16" s="53"/>
      <c r="AP16" s="53"/>
      <c r="AQ16" s="53"/>
      <c r="AR16" s="53"/>
      <c r="AS16" s="53"/>
      <c r="AT16" s="53"/>
      <c r="AU16" s="53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90" zoomScaleNormal="90" workbookViewId="0">
      <selection activeCell="B30" sqref="B30"/>
    </sheetView>
  </sheetViews>
  <sheetFormatPr defaultRowHeight="14.4" x14ac:dyDescent="0.3"/>
  <cols>
    <col min="1" max="1" width="36.5546875" customWidth="1"/>
    <col min="2" max="2" width="15.109375" customWidth="1"/>
    <col min="3" max="3" width="10.109375" bestFit="1" customWidth="1"/>
    <col min="4" max="4" width="14.109375" bestFit="1" customWidth="1"/>
    <col min="5" max="5" width="23.6640625" bestFit="1" customWidth="1"/>
    <col min="6" max="6" width="22.5546875" bestFit="1" customWidth="1"/>
    <col min="7" max="7" width="23.109375" bestFit="1" customWidth="1"/>
    <col min="8" max="8" width="22.33203125" bestFit="1" customWidth="1"/>
    <col min="9" max="12" width="12" style="2" bestFit="1" customWidth="1"/>
    <col min="13" max="13" width="12" bestFit="1" customWidth="1"/>
    <col min="14" max="14" width="21.6640625" style="2" bestFit="1" customWidth="1"/>
    <col min="15" max="15" width="12" bestFit="1" customWidth="1"/>
    <col min="16" max="16" width="26.109375" bestFit="1" customWidth="1"/>
    <col min="17" max="17" width="20.5546875" bestFit="1" customWidth="1"/>
    <col min="18" max="18" width="21.109375" bestFit="1" customWidth="1"/>
    <col min="19" max="19" width="20.33203125" bestFit="1" customWidth="1"/>
    <col min="20" max="20" width="10.33203125" style="53" bestFit="1" customWidth="1"/>
    <col min="21" max="21" width="8.44140625" style="53" bestFit="1" customWidth="1"/>
    <col min="22" max="22" width="19.6640625" style="53" bestFit="1" customWidth="1"/>
    <col min="23" max="23" width="14.6640625" style="53" bestFit="1" customWidth="1"/>
    <col min="24" max="24" width="12.6640625" style="53" bestFit="1" customWidth="1"/>
    <col min="25" max="25" width="24.109375" style="53" bestFit="1" customWidth="1"/>
  </cols>
  <sheetData>
    <row r="1" spans="1:25" x14ac:dyDescent="0.3">
      <c r="A1" t="s">
        <v>219</v>
      </c>
      <c r="B1" s="2"/>
      <c r="C1" s="2"/>
      <c r="D1" s="2"/>
      <c r="E1" s="2"/>
      <c r="F1" s="2"/>
      <c r="G1" s="2"/>
      <c r="H1" s="2"/>
      <c r="M1" s="2"/>
      <c r="O1" s="2"/>
    </row>
    <row r="2" spans="1:25" x14ac:dyDescent="0.3">
      <c r="B2" s="2"/>
      <c r="C2" s="2"/>
      <c r="D2" s="2"/>
      <c r="E2" s="2"/>
      <c r="F2" s="2"/>
      <c r="G2" s="2"/>
      <c r="H2" s="2"/>
      <c r="M2" s="2"/>
      <c r="O2" s="2"/>
      <c r="P2" s="2"/>
    </row>
    <row r="3" spans="1:25" x14ac:dyDescent="0.3">
      <c r="A3" t="s">
        <v>213</v>
      </c>
    </row>
    <row r="4" spans="1:25" x14ac:dyDescent="0.3">
      <c r="A4" t="s">
        <v>48</v>
      </c>
      <c r="B4" t="s">
        <v>220</v>
      </c>
      <c r="C4" t="s">
        <v>162</v>
      </c>
      <c r="D4" t="s">
        <v>163</v>
      </c>
      <c r="E4" t="s">
        <v>183</v>
      </c>
      <c r="F4" t="s">
        <v>184</v>
      </c>
      <c r="G4" t="s">
        <v>185</v>
      </c>
      <c r="H4" t="s">
        <v>186</v>
      </c>
      <c r="I4" s="2" t="s">
        <v>187</v>
      </c>
      <c r="J4" s="2" t="s">
        <v>188</v>
      </c>
      <c r="K4" s="2" t="s">
        <v>164</v>
      </c>
      <c r="L4" s="2" t="s">
        <v>121</v>
      </c>
      <c r="M4" t="s">
        <v>122</v>
      </c>
      <c r="N4" s="2" t="s">
        <v>123</v>
      </c>
      <c r="O4" t="s">
        <v>161</v>
      </c>
      <c r="P4" t="s">
        <v>189</v>
      </c>
      <c r="Q4" t="s">
        <v>190</v>
      </c>
      <c r="R4" t="s">
        <v>191</v>
      </c>
      <c r="S4" t="s">
        <v>192</v>
      </c>
      <c r="T4" s="53" t="s">
        <v>193</v>
      </c>
      <c r="U4" s="78" t="s">
        <v>118</v>
      </c>
      <c r="V4" s="78" t="s">
        <v>194</v>
      </c>
      <c r="W4" s="53" t="s">
        <v>195</v>
      </c>
      <c r="X4" s="53" t="s">
        <v>196</v>
      </c>
      <c r="Y4" s="78" t="s">
        <v>197</v>
      </c>
    </row>
    <row r="5" spans="1:25" x14ac:dyDescent="0.3">
      <c r="A5" t="s">
        <v>166</v>
      </c>
      <c r="B5" s="54" t="s">
        <v>172</v>
      </c>
      <c r="C5" s="54" t="s">
        <v>172</v>
      </c>
      <c r="D5">
        <v>9.3240093240000004</v>
      </c>
      <c r="E5">
        <v>4.6629150929999996</v>
      </c>
      <c r="F5">
        <v>18.644377635000001</v>
      </c>
      <c r="G5">
        <v>1.0614301523</v>
      </c>
      <c r="H5">
        <v>0.51644374429999995</v>
      </c>
      <c r="I5" s="2">
        <v>2.1815231197</v>
      </c>
      <c r="J5" s="2">
        <v>0.87115088299999999</v>
      </c>
      <c r="K5" s="2" t="s">
        <v>45</v>
      </c>
      <c r="L5" s="2">
        <v>0.57713004479999996</v>
      </c>
      <c r="M5">
        <v>0.20024990109999999</v>
      </c>
      <c r="N5" s="2">
        <v>1.6633171196000001</v>
      </c>
      <c r="O5">
        <v>0.3087617171</v>
      </c>
      <c r="P5">
        <v>3.5804195804000001</v>
      </c>
      <c r="Q5">
        <v>0.76032630739999996</v>
      </c>
      <c r="R5">
        <v>16.860398287999999</v>
      </c>
      <c r="S5">
        <v>0.10666441660000001</v>
      </c>
      <c r="T5" s="53" t="s">
        <v>45</v>
      </c>
      <c r="U5" s="78" t="s">
        <v>45</v>
      </c>
      <c r="V5" s="78" t="s">
        <v>45</v>
      </c>
      <c r="W5" s="53" t="s">
        <v>45</v>
      </c>
      <c r="X5" s="53" t="s">
        <v>45</v>
      </c>
      <c r="Y5" s="78" t="s">
        <v>45</v>
      </c>
    </row>
    <row r="6" spans="1:25" x14ac:dyDescent="0.3">
      <c r="A6" t="s">
        <v>169</v>
      </c>
      <c r="B6">
        <v>6</v>
      </c>
      <c r="C6">
        <v>1115</v>
      </c>
      <c r="D6">
        <v>5.3811659192999999</v>
      </c>
      <c r="E6">
        <v>2.4175463437000002</v>
      </c>
      <c r="F6">
        <v>11.977824841</v>
      </c>
      <c r="G6">
        <v>0.61258323140000004</v>
      </c>
      <c r="H6">
        <v>0.26871262439999999</v>
      </c>
      <c r="I6" s="2">
        <v>1.3965038536000001</v>
      </c>
      <c r="J6" s="2">
        <v>0.24376800309999999</v>
      </c>
      <c r="K6" s="2">
        <v>1</v>
      </c>
      <c r="L6" s="2" t="s">
        <v>45</v>
      </c>
      <c r="M6" t="s">
        <v>45</v>
      </c>
      <c r="N6" s="2" t="s">
        <v>45</v>
      </c>
      <c r="O6" t="s">
        <v>45</v>
      </c>
      <c r="P6">
        <v>0.28938714500000001</v>
      </c>
      <c r="Q6">
        <v>0.1030046027</v>
      </c>
      <c r="R6">
        <v>0.81302114209999998</v>
      </c>
      <c r="S6">
        <v>1.8636892799999999E-2</v>
      </c>
      <c r="T6" s="53" t="s">
        <v>45</v>
      </c>
      <c r="U6" s="78" t="s">
        <v>45</v>
      </c>
      <c r="V6" s="78" t="s">
        <v>45</v>
      </c>
      <c r="W6" s="53" t="s">
        <v>45</v>
      </c>
      <c r="X6" s="53" t="s">
        <v>45</v>
      </c>
      <c r="Y6" s="78" t="s">
        <v>45</v>
      </c>
    </row>
    <row r="7" spans="1:25" x14ac:dyDescent="0.3">
      <c r="A7" t="s">
        <v>165</v>
      </c>
      <c r="B7">
        <v>10</v>
      </c>
      <c r="C7">
        <v>1508</v>
      </c>
      <c r="D7">
        <v>6.6312997346999998</v>
      </c>
      <c r="E7">
        <v>3.5680020565000001</v>
      </c>
      <c r="F7">
        <v>12.324582631</v>
      </c>
      <c r="G7">
        <v>0.75489644460000005</v>
      </c>
      <c r="H7" s="1">
        <v>0.3939546001</v>
      </c>
      <c r="I7" s="2">
        <v>1.446533793</v>
      </c>
      <c r="J7" s="2">
        <v>0.39678076400000001</v>
      </c>
      <c r="K7" s="2" t="s">
        <v>45</v>
      </c>
      <c r="L7" s="2">
        <v>0.81147982060000001</v>
      </c>
      <c r="M7">
        <v>0.29493012689999998</v>
      </c>
      <c r="N7" s="2">
        <v>2.2327305324000002</v>
      </c>
      <c r="O7">
        <v>0.68582677270000003</v>
      </c>
      <c r="P7">
        <v>1.1472148541</v>
      </c>
      <c r="Q7" s="2">
        <v>0.35980495299999998</v>
      </c>
      <c r="R7">
        <v>3.6578204676000001</v>
      </c>
      <c r="S7">
        <v>0.81642761990000001</v>
      </c>
      <c r="T7" s="53" t="s">
        <v>45</v>
      </c>
      <c r="U7" s="78" t="s">
        <v>45</v>
      </c>
      <c r="V7" s="78" t="s">
        <v>45</v>
      </c>
      <c r="W7" s="53" t="s">
        <v>45</v>
      </c>
      <c r="X7" s="53" t="s">
        <v>45</v>
      </c>
      <c r="Y7" s="78" t="s">
        <v>45</v>
      </c>
    </row>
    <row r="8" spans="1:25" x14ac:dyDescent="0.3">
      <c r="A8" t="s">
        <v>12</v>
      </c>
      <c r="B8">
        <v>15</v>
      </c>
      <c r="C8">
        <v>2372</v>
      </c>
      <c r="D8">
        <v>6.3237774030000002</v>
      </c>
      <c r="E8">
        <v>3.8123896421999999</v>
      </c>
      <c r="F8">
        <v>10.489526097000001</v>
      </c>
      <c r="G8">
        <v>0.71988859930000004</v>
      </c>
      <c r="H8">
        <v>0.4182375774</v>
      </c>
      <c r="I8" s="2">
        <v>1.2391033789999999</v>
      </c>
      <c r="J8" s="2">
        <v>0.23554532180000001</v>
      </c>
      <c r="K8" s="2" t="s">
        <v>45</v>
      </c>
      <c r="L8" s="2">
        <v>0.85094170400000002</v>
      </c>
      <c r="M8" s="1">
        <v>0.3301645191</v>
      </c>
      <c r="N8" s="2">
        <v>2.1931544479</v>
      </c>
      <c r="O8">
        <v>0.73826344909999997</v>
      </c>
      <c r="P8">
        <v>0.68156267569999995</v>
      </c>
      <c r="Q8" s="2">
        <v>0.29826872380000002</v>
      </c>
      <c r="R8">
        <v>1.5574133118</v>
      </c>
      <c r="S8">
        <v>0.36322618340000001</v>
      </c>
      <c r="T8" s="53" t="s">
        <v>45</v>
      </c>
      <c r="U8" s="78" t="s">
        <v>45</v>
      </c>
      <c r="V8" s="78" t="s">
        <v>45</v>
      </c>
      <c r="W8" s="53" t="s">
        <v>45</v>
      </c>
      <c r="X8" s="53" t="s">
        <v>45</v>
      </c>
      <c r="Y8" s="78" t="s">
        <v>45</v>
      </c>
    </row>
    <row r="9" spans="1:25" x14ac:dyDescent="0.3">
      <c r="A9" t="s">
        <v>13</v>
      </c>
      <c r="B9">
        <v>14</v>
      </c>
      <c r="C9">
        <v>1574</v>
      </c>
      <c r="D9">
        <v>8.8945362135000003</v>
      </c>
      <c r="E9">
        <v>5.2678102875999997</v>
      </c>
      <c r="F9">
        <v>15.018151781</v>
      </c>
      <c r="G9">
        <v>1.0125396275</v>
      </c>
      <c r="H9">
        <v>0.57858233830000005</v>
      </c>
      <c r="I9" s="2">
        <v>1.7719802861</v>
      </c>
      <c r="J9" s="2">
        <v>0.96518868619999998</v>
      </c>
      <c r="K9" s="2" t="s">
        <v>45</v>
      </c>
      <c r="L9" s="2">
        <v>0.60499679689999997</v>
      </c>
      <c r="M9" s="1">
        <v>0.23249266260000001</v>
      </c>
      <c r="N9" s="2">
        <v>1.5743340893</v>
      </c>
      <c r="O9">
        <v>0.30306428930000001</v>
      </c>
      <c r="P9">
        <v>2.4682337992000001</v>
      </c>
      <c r="Q9" s="2">
        <v>0.81245699289999995</v>
      </c>
      <c r="R9">
        <v>7.4984622457999999</v>
      </c>
      <c r="S9">
        <v>0.1110191093</v>
      </c>
      <c r="T9" s="53" t="s">
        <v>45</v>
      </c>
      <c r="U9" s="78" t="s">
        <v>45</v>
      </c>
      <c r="V9" s="78" t="s">
        <v>45</v>
      </c>
      <c r="W9" s="53" t="s">
        <v>45</v>
      </c>
      <c r="X9" s="53" t="s">
        <v>45</v>
      </c>
      <c r="Y9" s="78" t="s">
        <v>45</v>
      </c>
    </row>
    <row r="10" spans="1:25" x14ac:dyDescent="0.3">
      <c r="A10" t="s">
        <v>170</v>
      </c>
      <c r="B10">
        <v>8</v>
      </c>
      <c r="C10">
        <v>661</v>
      </c>
      <c r="D10">
        <v>12.102874433</v>
      </c>
      <c r="E10">
        <v>6.0526189860999997</v>
      </c>
      <c r="F10">
        <v>24.201022709</v>
      </c>
      <c r="G10">
        <v>1.3777716652000001</v>
      </c>
      <c r="H10">
        <v>0.67036116889999997</v>
      </c>
      <c r="I10" s="2">
        <v>2.8316896167999999</v>
      </c>
      <c r="J10" s="2">
        <v>0.38327612059999999</v>
      </c>
      <c r="K10" s="2" t="s">
        <v>45</v>
      </c>
      <c r="L10" s="2">
        <v>0.44461883410000003</v>
      </c>
      <c r="M10" s="1">
        <v>0.15427177689999999</v>
      </c>
      <c r="N10" s="2">
        <v>1.2814133054000001</v>
      </c>
      <c r="O10">
        <v>0.13340093689999999</v>
      </c>
      <c r="P10">
        <v>3.7034795763999999</v>
      </c>
      <c r="Q10" s="2">
        <v>0.78645892969999998</v>
      </c>
      <c r="R10">
        <v>17.439894767999998</v>
      </c>
      <c r="S10">
        <v>9.76988045E-2</v>
      </c>
      <c r="T10" s="53" t="s">
        <v>45</v>
      </c>
      <c r="U10" s="78" t="s">
        <v>45</v>
      </c>
      <c r="V10" s="78" t="s">
        <v>45</v>
      </c>
      <c r="W10" s="53" t="s">
        <v>45</v>
      </c>
      <c r="X10" s="53" t="s">
        <v>45</v>
      </c>
      <c r="Y10" s="78" t="s">
        <v>45</v>
      </c>
    </row>
    <row r="11" spans="1:25" x14ac:dyDescent="0.3">
      <c r="A11" t="s">
        <v>167</v>
      </c>
      <c r="B11">
        <v>17</v>
      </c>
      <c r="C11">
        <v>1493</v>
      </c>
      <c r="D11">
        <v>11.386470193999999</v>
      </c>
      <c r="E11">
        <v>7.0785192154000001</v>
      </c>
      <c r="F11">
        <v>18.316218341999999</v>
      </c>
      <c r="G11">
        <v>1.2962173644999999</v>
      </c>
      <c r="H11" s="1">
        <v>0.77483241049999996</v>
      </c>
      <c r="I11" s="2">
        <v>2.1684424057</v>
      </c>
      <c r="J11" s="2">
        <v>0.3230297546</v>
      </c>
      <c r="K11" s="2" t="s">
        <v>45</v>
      </c>
      <c r="L11" s="2">
        <v>0.4725929834</v>
      </c>
      <c r="M11" s="1">
        <v>0.18633195429999999</v>
      </c>
      <c r="N11" s="2">
        <v>1.1986356759000001</v>
      </c>
      <c r="O11">
        <v>0.11447143999999999</v>
      </c>
      <c r="P11">
        <v>5616221307.6999998</v>
      </c>
      <c r="Q11" s="2">
        <v>3819907067.5</v>
      </c>
      <c r="R11">
        <v>8257253702.8000002</v>
      </c>
      <c r="S11" s="1">
        <v>1E-100</v>
      </c>
      <c r="T11" s="53" t="s">
        <v>45</v>
      </c>
      <c r="U11" s="78" t="s">
        <v>45</v>
      </c>
      <c r="V11" s="78" t="s">
        <v>211</v>
      </c>
      <c r="W11" s="53" t="s">
        <v>45</v>
      </c>
      <c r="X11" s="53" t="s">
        <v>45</v>
      </c>
      <c r="Y11" s="78" t="s">
        <v>45</v>
      </c>
    </row>
    <row r="12" spans="1:25" x14ac:dyDescent="0.3">
      <c r="A12" t="s">
        <v>171</v>
      </c>
      <c r="B12">
        <v>12</v>
      </c>
      <c r="C12">
        <v>867</v>
      </c>
      <c r="D12">
        <v>13.84083045</v>
      </c>
      <c r="E12">
        <v>7.8603417484999998</v>
      </c>
      <c r="F12">
        <v>24.371534174000001</v>
      </c>
      <c r="G12">
        <v>1.5756177694</v>
      </c>
      <c r="H12" s="1">
        <v>0.86549352560000004</v>
      </c>
      <c r="I12" s="2">
        <v>2.8683881298</v>
      </c>
      <c r="J12" s="2">
        <v>0.13691489749999999</v>
      </c>
      <c r="K12" s="2" t="s">
        <v>45</v>
      </c>
      <c r="L12" s="2">
        <v>0.38878923770000001</v>
      </c>
      <c r="M12">
        <v>0.14591954369999999</v>
      </c>
      <c r="N12" s="2">
        <v>1.0358932568000001</v>
      </c>
      <c r="O12">
        <v>5.8833460999999997E-2</v>
      </c>
      <c r="P12">
        <v>1.9100346021000001</v>
      </c>
      <c r="Q12" s="2">
        <v>0.61602706730000001</v>
      </c>
      <c r="R12">
        <v>5.9221946152999996</v>
      </c>
      <c r="S12">
        <v>0.26235296390000001</v>
      </c>
      <c r="T12" s="53" t="s">
        <v>45</v>
      </c>
      <c r="U12" s="78" t="s">
        <v>45</v>
      </c>
      <c r="V12" s="78" t="s">
        <v>45</v>
      </c>
      <c r="W12" s="53" t="s">
        <v>45</v>
      </c>
      <c r="X12" s="53" t="s">
        <v>45</v>
      </c>
      <c r="Y12" s="78" t="s">
        <v>45</v>
      </c>
    </row>
    <row r="13" spans="1:25" x14ac:dyDescent="0.3">
      <c r="A13" t="s">
        <v>168</v>
      </c>
      <c r="B13">
        <v>8</v>
      </c>
      <c r="C13">
        <v>778</v>
      </c>
      <c r="D13">
        <v>10.282776350000001</v>
      </c>
      <c r="E13">
        <v>5.1423922233999999</v>
      </c>
      <c r="F13">
        <v>20.561537289</v>
      </c>
      <c r="G13">
        <v>1.170574641</v>
      </c>
      <c r="H13">
        <v>0.56954849949999997</v>
      </c>
      <c r="I13" s="2">
        <v>2.4058442631000001</v>
      </c>
      <c r="J13" s="2">
        <v>0.66829717050000004</v>
      </c>
      <c r="K13" s="2" t="s">
        <v>45</v>
      </c>
      <c r="L13" s="2">
        <v>0.5233183857</v>
      </c>
      <c r="M13" s="1">
        <v>0.18157858160000001</v>
      </c>
      <c r="N13" s="2">
        <v>1.5082292763</v>
      </c>
      <c r="O13">
        <v>0.2305054654</v>
      </c>
      <c r="P13">
        <v>5.9125964010000001</v>
      </c>
      <c r="Q13" s="2">
        <v>0.73950763060000002</v>
      </c>
      <c r="R13">
        <v>47.273070287000003</v>
      </c>
      <c r="S13">
        <v>9.3845608699999999E-2</v>
      </c>
      <c r="T13" s="53" t="s">
        <v>45</v>
      </c>
      <c r="U13" s="78" t="s">
        <v>45</v>
      </c>
      <c r="V13" s="78" t="s">
        <v>45</v>
      </c>
      <c r="W13" s="53" t="s">
        <v>45</v>
      </c>
      <c r="X13" s="53" t="s">
        <v>45</v>
      </c>
      <c r="Y13" s="78" t="s">
        <v>45</v>
      </c>
    </row>
    <row r="14" spans="1:25" x14ac:dyDescent="0.3">
      <c r="A14" t="s">
        <v>56</v>
      </c>
      <c r="B14" t="s">
        <v>45</v>
      </c>
      <c r="C14" t="s">
        <v>45</v>
      </c>
      <c r="D14" t="s">
        <v>45</v>
      </c>
      <c r="E14" t="s">
        <v>45</v>
      </c>
      <c r="F14" t="s">
        <v>45</v>
      </c>
      <c r="G14" t="s">
        <v>45</v>
      </c>
      <c r="H14" t="s">
        <v>45</v>
      </c>
      <c r="I14" s="2" t="s">
        <v>45</v>
      </c>
      <c r="J14" s="2" t="s">
        <v>45</v>
      </c>
      <c r="K14" s="2" t="s">
        <v>45</v>
      </c>
      <c r="L14" s="2" t="s">
        <v>45</v>
      </c>
      <c r="M14" t="s">
        <v>45</v>
      </c>
      <c r="N14" s="2" t="s">
        <v>45</v>
      </c>
      <c r="O14" t="s">
        <v>45</v>
      </c>
      <c r="P14" t="s">
        <v>45</v>
      </c>
      <c r="Q14" s="2">
        <v>1834773965.0999999</v>
      </c>
      <c r="R14">
        <v>3966115889.5999999</v>
      </c>
      <c r="S14" s="1">
        <v>1E-100</v>
      </c>
      <c r="T14" s="53" t="s">
        <v>45</v>
      </c>
      <c r="U14" s="78" t="s">
        <v>45</v>
      </c>
      <c r="V14" s="78" t="s">
        <v>45</v>
      </c>
      <c r="W14" s="53" t="s">
        <v>172</v>
      </c>
      <c r="X14" s="53" t="s">
        <v>172</v>
      </c>
      <c r="Y14" s="78" t="s">
        <v>172</v>
      </c>
    </row>
    <row r="15" spans="1:25" x14ac:dyDescent="0.3">
      <c r="A15" t="s">
        <v>198</v>
      </c>
      <c r="B15">
        <v>99</v>
      </c>
      <c r="C15">
        <v>11270</v>
      </c>
      <c r="D15">
        <v>8.7843833184999998</v>
      </c>
      <c r="E15">
        <v>7.2137702196999998</v>
      </c>
      <c r="F15">
        <v>10.696957061000001</v>
      </c>
      <c r="G15" t="s">
        <v>45</v>
      </c>
      <c r="H15" s="1" t="s">
        <v>45</v>
      </c>
      <c r="I15" s="2" t="s">
        <v>45</v>
      </c>
      <c r="J15" s="2" t="s">
        <v>45</v>
      </c>
      <c r="K15" s="2" t="s">
        <v>45</v>
      </c>
      <c r="L15" s="2" t="s">
        <v>45</v>
      </c>
      <c r="M15" s="1" t="s">
        <v>45</v>
      </c>
      <c r="N15" s="2" t="s">
        <v>45</v>
      </c>
      <c r="O15" t="s">
        <v>45</v>
      </c>
      <c r="P15">
        <v>1.5046393712999999</v>
      </c>
      <c r="Q15" s="2">
        <v>1.0233896162</v>
      </c>
      <c r="R15">
        <v>2.2121971943999998</v>
      </c>
      <c r="S15">
        <v>3.7752411299999997E-2</v>
      </c>
      <c r="T15" s="53" t="s">
        <v>45</v>
      </c>
      <c r="U15" s="78" t="s">
        <v>45</v>
      </c>
      <c r="V15" s="78" t="s">
        <v>45</v>
      </c>
      <c r="W15" s="53" t="s">
        <v>45</v>
      </c>
      <c r="X15" s="53" t="s">
        <v>45</v>
      </c>
      <c r="Y15" s="78" t="s">
        <v>45</v>
      </c>
    </row>
    <row r="16" spans="1:25" x14ac:dyDescent="0.3">
      <c r="A16" t="s">
        <v>166</v>
      </c>
      <c r="B16" t="s">
        <v>45</v>
      </c>
      <c r="C16" t="s">
        <v>45</v>
      </c>
      <c r="D16" t="s">
        <v>45</v>
      </c>
      <c r="E16" t="s">
        <v>45</v>
      </c>
      <c r="F16" t="s">
        <v>45</v>
      </c>
      <c r="G16" t="s">
        <v>45</v>
      </c>
      <c r="H16" t="s">
        <v>45</v>
      </c>
      <c r="I16" s="2" t="s">
        <v>45</v>
      </c>
      <c r="J16" s="2" t="s">
        <v>45</v>
      </c>
      <c r="K16" s="2" t="s">
        <v>45</v>
      </c>
      <c r="L16" s="2" t="s">
        <v>45</v>
      </c>
      <c r="M16" t="s">
        <v>45</v>
      </c>
      <c r="N16" s="2" t="s">
        <v>45</v>
      </c>
      <c r="O16" t="s">
        <v>45</v>
      </c>
      <c r="P16" t="s">
        <v>45</v>
      </c>
      <c r="Q16" s="2" t="s">
        <v>45</v>
      </c>
      <c r="R16" t="s">
        <v>45</v>
      </c>
      <c r="S16" t="s">
        <v>45</v>
      </c>
      <c r="T16" s="53" t="s">
        <v>45</v>
      </c>
      <c r="U16" s="78" t="s">
        <v>45</v>
      </c>
      <c r="V16" s="78" t="s">
        <v>45</v>
      </c>
      <c r="W16" s="53" t="s">
        <v>172</v>
      </c>
      <c r="X16" s="53" t="s">
        <v>172</v>
      </c>
      <c r="Y16" s="78" t="s">
        <v>172</v>
      </c>
    </row>
    <row r="17" spans="1:25" x14ac:dyDescent="0.3">
      <c r="A17" t="s">
        <v>169</v>
      </c>
      <c r="B17">
        <v>9</v>
      </c>
      <c r="C17">
        <v>484</v>
      </c>
      <c r="D17">
        <v>18.595041322</v>
      </c>
      <c r="E17">
        <v>9.6752746046000002</v>
      </c>
      <c r="F17">
        <v>35.738061803000001</v>
      </c>
      <c r="G17">
        <v>3.1850649351000002</v>
      </c>
      <c r="H17">
        <v>1.5310491825000001</v>
      </c>
      <c r="I17" s="2">
        <v>6.625939099</v>
      </c>
      <c r="J17" s="2">
        <v>1.9373974999999999E-3</v>
      </c>
      <c r="K17" s="2" t="s">
        <v>45</v>
      </c>
      <c r="L17" s="2">
        <v>0.49896907219999997</v>
      </c>
      <c r="M17">
        <v>1.2569959632000001</v>
      </c>
      <c r="N17" s="2">
        <v>0.19806756919999999</v>
      </c>
      <c r="O17">
        <v>0.14027557609999999</v>
      </c>
      <c r="P17" t="s">
        <v>45</v>
      </c>
      <c r="Q17" t="s">
        <v>45</v>
      </c>
      <c r="R17" t="s">
        <v>45</v>
      </c>
      <c r="S17" t="s">
        <v>45</v>
      </c>
      <c r="T17" s="53" t="s">
        <v>146</v>
      </c>
      <c r="U17" s="78" t="s">
        <v>45</v>
      </c>
      <c r="V17" s="78" t="s">
        <v>45</v>
      </c>
      <c r="W17" s="53" t="s">
        <v>45</v>
      </c>
      <c r="X17" s="53" t="s">
        <v>45</v>
      </c>
      <c r="Y17" s="78" t="s">
        <v>45</v>
      </c>
    </row>
    <row r="18" spans="1:25" x14ac:dyDescent="0.3">
      <c r="A18" t="s">
        <v>165</v>
      </c>
      <c r="B18" t="s">
        <v>45</v>
      </c>
      <c r="C18" t="s">
        <v>45</v>
      </c>
      <c r="D18" t="s">
        <v>45</v>
      </c>
      <c r="E18" t="s">
        <v>45</v>
      </c>
      <c r="F18" t="s">
        <v>45</v>
      </c>
      <c r="G18" t="s">
        <v>45</v>
      </c>
      <c r="H18" t="s">
        <v>45</v>
      </c>
      <c r="I18" s="2" t="s">
        <v>45</v>
      </c>
      <c r="J18" s="2" t="s">
        <v>45</v>
      </c>
      <c r="K18" s="2" t="s">
        <v>45</v>
      </c>
      <c r="L18" s="2" t="s">
        <v>45</v>
      </c>
      <c r="M18" t="s">
        <v>45</v>
      </c>
      <c r="N18" s="2" t="s">
        <v>45</v>
      </c>
      <c r="O18" t="s">
        <v>45</v>
      </c>
      <c r="P18" t="s">
        <v>45</v>
      </c>
      <c r="Q18" t="s">
        <v>45</v>
      </c>
      <c r="R18" t="s">
        <v>45</v>
      </c>
      <c r="S18" t="s">
        <v>45</v>
      </c>
      <c r="T18" s="53" t="s">
        <v>45</v>
      </c>
      <c r="U18" s="78" t="s">
        <v>45</v>
      </c>
      <c r="V18" s="78" t="s">
        <v>45</v>
      </c>
      <c r="W18" s="53" t="s">
        <v>172</v>
      </c>
      <c r="X18" s="53" t="s">
        <v>172</v>
      </c>
      <c r="Y18" s="78" t="s">
        <v>172</v>
      </c>
    </row>
    <row r="19" spans="1:25" x14ac:dyDescent="0.3">
      <c r="A19" t="s">
        <v>12</v>
      </c>
      <c r="B19">
        <v>9</v>
      </c>
      <c r="C19">
        <v>970</v>
      </c>
      <c r="D19">
        <v>9.2783505154999997</v>
      </c>
      <c r="E19">
        <v>4.8276627924</v>
      </c>
      <c r="F19">
        <v>17.832187539</v>
      </c>
      <c r="G19">
        <v>1.5892488953999999</v>
      </c>
      <c r="H19">
        <v>0.76394618999999997</v>
      </c>
      <c r="I19" s="2">
        <v>3.3061386845</v>
      </c>
      <c r="J19" s="2">
        <v>0.21515127540000001</v>
      </c>
      <c r="K19" s="2">
        <v>1</v>
      </c>
      <c r="L19" s="2" t="s">
        <v>45</v>
      </c>
      <c r="M19" t="s">
        <v>45</v>
      </c>
      <c r="N19" s="2" t="s">
        <v>45</v>
      </c>
      <c r="O19" t="s">
        <v>45</v>
      </c>
      <c r="P19" t="s">
        <v>45</v>
      </c>
      <c r="Q19" t="s">
        <v>45</v>
      </c>
      <c r="R19" t="s">
        <v>45</v>
      </c>
      <c r="S19" t="s">
        <v>45</v>
      </c>
      <c r="T19" s="53" t="s">
        <v>45</v>
      </c>
      <c r="U19" s="78" t="s">
        <v>45</v>
      </c>
      <c r="V19" s="78" t="s">
        <v>45</v>
      </c>
      <c r="W19" s="53" t="s">
        <v>45</v>
      </c>
      <c r="X19" s="53" t="s">
        <v>45</v>
      </c>
      <c r="Y19" s="78" t="s">
        <v>45</v>
      </c>
    </row>
    <row r="20" spans="1:25" x14ac:dyDescent="0.3">
      <c r="A20" t="s">
        <v>13</v>
      </c>
      <c r="B20" t="s">
        <v>45</v>
      </c>
      <c r="C20" t="s">
        <v>45</v>
      </c>
      <c r="D20" t="s">
        <v>45</v>
      </c>
      <c r="E20" t="s">
        <v>45</v>
      </c>
      <c r="F20" t="s">
        <v>45</v>
      </c>
      <c r="G20" t="s">
        <v>45</v>
      </c>
      <c r="H20" t="s">
        <v>45</v>
      </c>
      <c r="I20" s="2" t="s">
        <v>45</v>
      </c>
      <c r="J20" s="2" t="s">
        <v>45</v>
      </c>
      <c r="K20" s="2" t="s">
        <v>45</v>
      </c>
      <c r="L20" s="2" t="s">
        <v>45</v>
      </c>
      <c r="M20" t="s">
        <v>45</v>
      </c>
      <c r="N20" s="2" t="s">
        <v>45</v>
      </c>
      <c r="O20" t="s">
        <v>45</v>
      </c>
      <c r="P20" t="s">
        <v>45</v>
      </c>
      <c r="Q20" t="s">
        <v>45</v>
      </c>
      <c r="R20" t="s">
        <v>45</v>
      </c>
      <c r="S20" t="s">
        <v>45</v>
      </c>
      <c r="T20" s="53" t="s">
        <v>45</v>
      </c>
      <c r="U20" s="78" t="s">
        <v>45</v>
      </c>
      <c r="V20" s="78" t="s">
        <v>45</v>
      </c>
      <c r="W20" s="53" t="s">
        <v>172</v>
      </c>
      <c r="X20" s="53" t="s">
        <v>172</v>
      </c>
      <c r="Y20" s="78" t="s">
        <v>172</v>
      </c>
    </row>
    <row r="21" spans="1:25" x14ac:dyDescent="0.3">
      <c r="A21" t="s">
        <v>170</v>
      </c>
      <c r="B21" t="s">
        <v>45</v>
      </c>
      <c r="C21" t="s">
        <v>45</v>
      </c>
      <c r="D21" t="s">
        <v>45</v>
      </c>
      <c r="E21" t="s">
        <v>45</v>
      </c>
      <c r="F21" t="s">
        <v>45</v>
      </c>
      <c r="G21" t="s">
        <v>45</v>
      </c>
      <c r="H21" t="s">
        <v>45</v>
      </c>
      <c r="I21" s="2" t="s">
        <v>45</v>
      </c>
      <c r="J21" s="2" t="s">
        <v>45</v>
      </c>
      <c r="K21" s="2" t="s">
        <v>45</v>
      </c>
      <c r="L21" s="2" t="s">
        <v>45</v>
      </c>
      <c r="M21" t="s">
        <v>45</v>
      </c>
      <c r="N21" s="2" t="s">
        <v>45</v>
      </c>
      <c r="O21" t="s">
        <v>45</v>
      </c>
      <c r="P21" t="s">
        <v>45</v>
      </c>
      <c r="Q21" t="s">
        <v>45</v>
      </c>
      <c r="R21" t="s">
        <v>45</v>
      </c>
      <c r="S21" t="s">
        <v>45</v>
      </c>
      <c r="T21" s="53" t="s">
        <v>45</v>
      </c>
      <c r="U21" s="78" t="s">
        <v>45</v>
      </c>
      <c r="V21" s="78" t="s">
        <v>45</v>
      </c>
      <c r="W21" s="53" t="s">
        <v>172</v>
      </c>
      <c r="X21" s="53" t="s">
        <v>172</v>
      </c>
      <c r="Y21" s="78" t="s">
        <v>172</v>
      </c>
    </row>
    <row r="22" spans="1:25" x14ac:dyDescent="0.3">
      <c r="A22" t="s">
        <v>167</v>
      </c>
      <c r="B22">
        <v>0</v>
      </c>
      <c r="C22">
        <v>187</v>
      </c>
      <c r="D22" s="1">
        <v>2.0274255000000001E-9</v>
      </c>
      <c r="E22" s="1">
        <v>1.0994179000000001E-9</v>
      </c>
      <c r="F22" s="1">
        <v>3.7387550000000001E-9</v>
      </c>
      <c r="G22" s="1">
        <v>3.4726900000000002E-10</v>
      </c>
      <c r="H22" s="1">
        <v>2.0758500000000001E-10</v>
      </c>
      <c r="I22" s="1">
        <v>5.8094640000000004E-10</v>
      </c>
      <c r="J22" s="1">
        <v>1E-100</v>
      </c>
      <c r="K22" s="2" t="s">
        <v>45</v>
      </c>
      <c r="L22" s="2">
        <v>4576419994.6000004</v>
      </c>
      <c r="M22">
        <v>11202104385</v>
      </c>
      <c r="N22" s="2">
        <v>1869614783.7</v>
      </c>
      <c r="O22" s="1">
        <v>1E-100</v>
      </c>
      <c r="P22" t="s">
        <v>45</v>
      </c>
      <c r="Q22" t="s">
        <v>45</v>
      </c>
      <c r="R22" t="s">
        <v>45</v>
      </c>
      <c r="S22" t="s">
        <v>45</v>
      </c>
      <c r="T22" s="53" t="s">
        <v>146</v>
      </c>
      <c r="U22" s="78" t="s">
        <v>45</v>
      </c>
      <c r="V22" s="78" t="s">
        <v>45</v>
      </c>
      <c r="W22" s="53" t="s">
        <v>45</v>
      </c>
      <c r="X22" s="53" t="s">
        <v>45</v>
      </c>
      <c r="Y22" s="78" t="s">
        <v>45</v>
      </c>
    </row>
    <row r="23" spans="1:25" x14ac:dyDescent="0.3">
      <c r="A23" t="s">
        <v>171</v>
      </c>
      <c r="B23" t="s">
        <v>45</v>
      </c>
      <c r="C23" t="s">
        <v>45</v>
      </c>
      <c r="D23" t="s">
        <v>45</v>
      </c>
      <c r="E23" t="s">
        <v>45</v>
      </c>
      <c r="F23" t="s">
        <v>45</v>
      </c>
      <c r="G23" t="s">
        <v>45</v>
      </c>
      <c r="H23" t="s">
        <v>45</v>
      </c>
      <c r="I23" s="2" t="s">
        <v>45</v>
      </c>
      <c r="J23" s="2" t="s">
        <v>45</v>
      </c>
      <c r="K23" s="2" t="s">
        <v>45</v>
      </c>
      <c r="L23" s="2" t="s">
        <v>45</v>
      </c>
      <c r="M23" t="s">
        <v>45</v>
      </c>
      <c r="N23" s="2" t="s">
        <v>45</v>
      </c>
      <c r="O23" t="s">
        <v>45</v>
      </c>
      <c r="P23" t="s">
        <v>45</v>
      </c>
      <c r="Q23" t="s">
        <v>45</v>
      </c>
      <c r="R23" t="s">
        <v>45</v>
      </c>
      <c r="S23" t="s">
        <v>45</v>
      </c>
      <c r="T23" s="53" t="s">
        <v>45</v>
      </c>
      <c r="U23" s="78" t="s">
        <v>45</v>
      </c>
      <c r="V23" s="78" t="s">
        <v>45</v>
      </c>
      <c r="W23" s="53" t="s">
        <v>172</v>
      </c>
      <c r="X23" s="53" t="s">
        <v>172</v>
      </c>
      <c r="Y23" s="78" t="s">
        <v>172</v>
      </c>
    </row>
    <row r="24" spans="1:25" x14ac:dyDescent="0.3">
      <c r="A24" t="s">
        <v>168</v>
      </c>
      <c r="B24" t="s">
        <v>45</v>
      </c>
      <c r="C24" t="s">
        <v>45</v>
      </c>
      <c r="D24" t="s">
        <v>45</v>
      </c>
      <c r="E24" t="s">
        <v>45</v>
      </c>
      <c r="F24" t="s">
        <v>45</v>
      </c>
      <c r="G24" t="s">
        <v>45</v>
      </c>
      <c r="H24" t="s">
        <v>45</v>
      </c>
      <c r="I24" s="2" t="s">
        <v>45</v>
      </c>
      <c r="J24" s="2" t="s">
        <v>45</v>
      </c>
      <c r="K24" s="2" t="s">
        <v>45</v>
      </c>
      <c r="L24" s="2" t="s">
        <v>45</v>
      </c>
      <c r="M24" t="s">
        <v>45</v>
      </c>
      <c r="N24" s="2" t="s">
        <v>45</v>
      </c>
      <c r="O24" t="s">
        <v>45</v>
      </c>
      <c r="P24" t="s">
        <v>45</v>
      </c>
      <c r="Q24" t="s">
        <v>45</v>
      </c>
      <c r="R24" t="s">
        <v>45</v>
      </c>
      <c r="S24" t="s">
        <v>45</v>
      </c>
      <c r="T24" s="53" t="s">
        <v>45</v>
      </c>
      <c r="U24" s="78" t="s">
        <v>45</v>
      </c>
      <c r="V24" s="78" t="s">
        <v>45</v>
      </c>
      <c r="W24" s="53" t="s">
        <v>172</v>
      </c>
      <c r="X24" s="53" t="s">
        <v>172</v>
      </c>
      <c r="Y24" s="78" t="s">
        <v>172</v>
      </c>
    </row>
    <row r="25" spans="1:25" x14ac:dyDescent="0.3">
      <c r="A25" t="s">
        <v>56</v>
      </c>
      <c r="B25">
        <v>0</v>
      </c>
      <c r="C25">
        <v>45</v>
      </c>
      <c r="D25" s="1">
        <v>8.4250665000000007E-9</v>
      </c>
      <c r="E25" s="1">
        <v>1.1430597000000001E-9</v>
      </c>
      <c r="F25" s="1">
        <v>6.2098023999999999E-8</v>
      </c>
      <c r="G25" s="1">
        <v>1.4430934999999999E-9</v>
      </c>
      <c r="H25" s="1">
        <v>2.0128189999999999E-10</v>
      </c>
      <c r="I25" s="1">
        <v>1.034628E-8</v>
      </c>
      <c r="J25" s="1">
        <v>3.246292E-91</v>
      </c>
      <c r="K25" s="2" t="s">
        <v>45</v>
      </c>
      <c r="L25" s="2">
        <v>1101279198.7</v>
      </c>
      <c r="M25">
        <v>134639156.58000001</v>
      </c>
      <c r="N25" s="2">
        <v>9007898624.8999996</v>
      </c>
      <c r="O25" s="1">
        <v>5.6159229999999997E-84</v>
      </c>
      <c r="P25" t="s">
        <v>45</v>
      </c>
      <c r="Q25" t="s">
        <v>45</v>
      </c>
      <c r="R25" t="s">
        <v>45</v>
      </c>
      <c r="S25" t="s">
        <v>45</v>
      </c>
      <c r="T25" s="53" t="s">
        <v>146</v>
      </c>
      <c r="U25" s="78" t="s">
        <v>45</v>
      </c>
      <c r="V25" s="78" t="s">
        <v>45</v>
      </c>
      <c r="W25" s="53" t="s">
        <v>45</v>
      </c>
      <c r="X25" s="53" t="s">
        <v>45</v>
      </c>
      <c r="Y25" s="78" t="s">
        <v>45</v>
      </c>
    </row>
    <row r="26" spans="1:25" x14ac:dyDescent="0.3">
      <c r="A26" t="s">
        <v>199</v>
      </c>
      <c r="B26">
        <v>35</v>
      </c>
      <c r="C26">
        <v>5995</v>
      </c>
      <c r="D26">
        <v>5.8381984986999997</v>
      </c>
      <c r="E26">
        <v>4.1917901782999998</v>
      </c>
      <c r="F26">
        <v>8.1312661800000008</v>
      </c>
      <c r="G26" t="s">
        <v>45</v>
      </c>
      <c r="H26" t="s">
        <v>45</v>
      </c>
      <c r="I26" s="2" t="s">
        <v>45</v>
      </c>
      <c r="J26" s="2" t="s">
        <v>45</v>
      </c>
      <c r="K26" s="2" t="s">
        <v>45</v>
      </c>
      <c r="L26" s="2" t="s">
        <v>45</v>
      </c>
      <c r="M26" t="s">
        <v>45</v>
      </c>
      <c r="N26" s="2" t="s">
        <v>45</v>
      </c>
      <c r="O26" t="s">
        <v>45</v>
      </c>
      <c r="P26" t="s">
        <v>45</v>
      </c>
      <c r="Q26" t="s">
        <v>45</v>
      </c>
      <c r="R26" t="s">
        <v>45</v>
      </c>
      <c r="S26" t="s">
        <v>45</v>
      </c>
      <c r="T26" s="53" t="s">
        <v>45</v>
      </c>
      <c r="U26" s="53" t="s">
        <v>45</v>
      </c>
      <c r="V26" s="53" t="s">
        <v>45</v>
      </c>
      <c r="W26" s="53" t="s">
        <v>45</v>
      </c>
      <c r="X26" s="53" t="s">
        <v>45</v>
      </c>
      <c r="Y26" s="53" t="s">
        <v>45</v>
      </c>
    </row>
    <row r="28" spans="1:25" x14ac:dyDescent="0.3">
      <c r="A28" s="2"/>
      <c r="B28" s="2"/>
      <c r="C28" s="2"/>
    </row>
    <row r="29" spans="1:25" x14ac:dyDescent="0.3">
      <c r="A29" s="2"/>
      <c r="B29" s="2"/>
      <c r="C29" s="2"/>
    </row>
    <row r="30" spans="1:25" x14ac:dyDescent="0.3">
      <c r="B30" s="54" t="s">
        <v>225</v>
      </c>
    </row>
    <row r="42" spans="11:20" x14ac:dyDescent="0.3">
      <c r="K42" s="1"/>
      <c r="P42" s="1"/>
    </row>
    <row r="43" spans="11:20" x14ac:dyDescent="0.3">
      <c r="T43" s="75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workbookViewId="0">
      <selection activeCell="A2" sqref="A2"/>
    </sheetView>
  </sheetViews>
  <sheetFormatPr defaultRowHeight="14.4" x14ac:dyDescent="0.3"/>
  <cols>
    <col min="1" max="1" width="25.5546875" customWidth="1"/>
    <col min="2" max="2" width="10.5546875" customWidth="1"/>
    <col min="3" max="6" width="9.109375" customWidth="1"/>
    <col min="7" max="7" width="14" bestFit="1" customWidth="1"/>
    <col min="9" max="9" width="14" bestFit="1" customWidth="1"/>
    <col min="10" max="10" width="13.109375" bestFit="1" customWidth="1"/>
    <col min="11" max="11" width="13.5546875" bestFit="1" customWidth="1"/>
    <col min="12" max="12" width="12.44140625" bestFit="1" customWidth="1"/>
    <col min="13" max="13" width="14.5546875" bestFit="1" customWidth="1"/>
    <col min="14" max="14" width="13.6640625" bestFit="1" customWidth="1"/>
    <col min="15" max="15" width="14.109375" bestFit="1" customWidth="1"/>
    <col min="16" max="16" width="13.109375" bestFit="1" customWidth="1"/>
    <col min="17" max="17" width="11.88671875" bestFit="1" customWidth="1"/>
    <col min="18" max="18" width="12.44140625" bestFit="1" customWidth="1"/>
    <col min="19" max="19" width="8.88671875" bestFit="1" customWidth="1"/>
  </cols>
  <sheetData>
    <row r="1" spans="1:17" s="2" customFormat="1" x14ac:dyDescent="0.3">
      <c r="A1" s="2" t="s">
        <v>221</v>
      </c>
    </row>
    <row r="2" spans="1:17" s="2" customFormat="1" x14ac:dyDescent="0.3"/>
    <row r="3" spans="1:17" s="2" customFormat="1" x14ac:dyDescent="0.3">
      <c r="A3" s="2" t="s">
        <v>213</v>
      </c>
    </row>
    <row r="4" spans="1:17" s="2" customFormat="1" x14ac:dyDescent="0.3">
      <c r="A4" s="2" t="s">
        <v>61</v>
      </c>
      <c r="B4" s="2" t="s">
        <v>62</v>
      </c>
      <c r="C4" s="2" t="s">
        <v>173</v>
      </c>
      <c r="D4" s="2" t="s">
        <v>222</v>
      </c>
      <c r="E4" s="2" t="s">
        <v>64</v>
      </c>
      <c r="F4" s="2" t="s">
        <v>65</v>
      </c>
      <c r="G4" s="2" t="s">
        <v>19</v>
      </c>
      <c r="H4" s="2" t="s">
        <v>20</v>
      </c>
      <c r="I4" s="2" t="s">
        <v>21</v>
      </c>
      <c r="J4" s="2" t="s">
        <v>17</v>
      </c>
      <c r="K4" s="2" t="s">
        <v>25</v>
      </c>
      <c r="L4" s="2" t="s">
        <v>26</v>
      </c>
      <c r="M4" s="2" t="s">
        <v>27</v>
      </c>
      <c r="N4" s="2" t="s">
        <v>23</v>
      </c>
      <c r="O4" s="2" t="s">
        <v>38</v>
      </c>
      <c r="P4" s="2" t="s">
        <v>39</v>
      </c>
      <c r="Q4" s="2" t="s">
        <v>66</v>
      </c>
    </row>
    <row r="5" spans="1:17" s="2" customFormat="1" x14ac:dyDescent="0.3">
      <c r="A5" s="2" t="s">
        <v>70</v>
      </c>
      <c r="B5" s="2" t="s">
        <v>69</v>
      </c>
      <c r="C5" s="2" t="s">
        <v>174</v>
      </c>
      <c r="D5" s="2">
        <v>98</v>
      </c>
      <c r="E5" s="2">
        <v>11237</v>
      </c>
      <c r="F5" s="2">
        <v>8.7211889294000002</v>
      </c>
      <c r="G5" s="2" t="s">
        <v>45</v>
      </c>
      <c r="H5" s="2" t="s">
        <v>45</v>
      </c>
      <c r="I5" s="2" t="s">
        <v>45</v>
      </c>
      <c r="J5" s="2" t="s">
        <v>45</v>
      </c>
      <c r="K5" s="2" t="s">
        <v>45</v>
      </c>
      <c r="L5" s="2" t="s">
        <v>45</v>
      </c>
      <c r="M5" s="2" t="s">
        <v>45</v>
      </c>
      <c r="N5" s="2" t="s">
        <v>45</v>
      </c>
      <c r="O5" s="2" t="s">
        <v>45</v>
      </c>
      <c r="P5" s="2" t="s">
        <v>45</v>
      </c>
      <c r="Q5" s="2" t="s">
        <v>45</v>
      </c>
    </row>
    <row r="6" spans="1:17" s="2" customFormat="1" x14ac:dyDescent="0.3">
      <c r="A6" s="2" t="s">
        <v>68</v>
      </c>
      <c r="B6" s="2" t="s">
        <v>67</v>
      </c>
      <c r="C6" s="2" t="s">
        <v>174</v>
      </c>
      <c r="D6" s="2">
        <v>17</v>
      </c>
      <c r="E6" s="2">
        <v>4134</v>
      </c>
      <c r="F6" s="2">
        <v>4.1122399613000002</v>
      </c>
      <c r="G6" s="2" t="s">
        <v>45</v>
      </c>
      <c r="H6" s="2" t="s">
        <v>45</v>
      </c>
      <c r="I6" s="2" t="s">
        <v>45</v>
      </c>
      <c r="J6" s="2" t="s">
        <v>45</v>
      </c>
      <c r="K6" s="2" t="s">
        <v>45</v>
      </c>
      <c r="L6" s="2" t="s">
        <v>45</v>
      </c>
      <c r="M6" s="2" t="s">
        <v>45</v>
      </c>
      <c r="N6" s="2" t="s">
        <v>45</v>
      </c>
      <c r="O6" s="2" t="s">
        <v>45</v>
      </c>
      <c r="P6" s="2" t="s">
        <v>45</v>
      </c>
      <c r="Q6" s="2" t="s">
        <v>45</v>
      </c>
    </row>
    <row r="7" spans="1:17" s="2" customFormat="1" x14ac:dyDescent="0.3">
      <c r="A7" s="2" t="s">
        <v>68</v>
      </c>
      <c r="B7" s="2" t="s">
        <v>69</v>
      </c>
      <c r="C7" s="2" t="s">
        <v>174</v>
      </c>
      <c r="D7" s="2">
        <v>21</v>
      </c>
      <c r="E7" s="2">
        <v>2282</v>
      </c>
      <c r="F7" s="2">
        <v>9.2024539877000002</v>
      </c>
      <c r="G7" s="2" t="s">
        <v>45</v>
      </c>
      <c r="H7" s="2" t="s">
        <v>45</v>
      </c>
      <c r="I7" s="2" t="s">
        <v>45</v>
      </c>
      <c r="J7" s="2" t="s">
        <v>45</v>
      </c>
      <c r="K7" s="2" t="s">
        <v>45</v>
      </c>
      <c r="L7" s="2" t="s">
        <v>45</v>
      </c>
      <c r="M7" s="2" t="s">
        <v>45</v>
      </c>
      <c r="N7" s="2" t="s">
        <v>45</v>
      </c>
      <c r="O7" s="2" t="s">
        <v>45</v>
      </c>
      <c r="P7" s="2" t="s">
        <v>45</v>
      </c>
      <c r="Q7" s="2" t="s">
        <v>45</v>
      </c>
    </row>
    <row r="8" spans="1:17" s="2" customFormat="1" x14ac:dyDescent="0.3">
      <c r="A8" s="2" t="s">
        <v>57</v>
      </c>
      <c r="B8" s="2" t="s">
        <v>67</v>
      </c>
      <c r="C8" s="2" t="s">
        <v>175</v>
      </c>
      <c r="D8" s="2">
        <v>45</v>
      </c>
      <c r="E8" s="2">
        <v>7859</v>
      </c>
      <c r="F8" s="2">
        <v>5.7259193281999998</v>
      </c>
      <c r="G8" s="2" t="s">
        <v>45</v>
      </c>
      <c r="H8" s="2" t="s">
        <v>45</v>
      </c>
      <c r="I8" s="2" t="s">
        <v>45</v>
      </c>
      <c r="J8" s="2" t="s">
        <v>45</v>
      </c>
      <c r="K8" s="2">
        <v>0.71817986349999996</v>
      </c>
      <c r="L8" s="2">
        <v>0.41106321080000002</v>
      </c>
      <c r="M8" s="2">
        <v>1.2547518308000001</v>
      </c>
      <c r="N8" s="1">
        <v>0.24490623280000001</v>
      </c>
      <c r="O8" s="2" t="s">
        <v>45</v>
      </c>
      <c r="P8" s="2" t="s">
        <v>45</v>
      </c>
      <c r="Q8" s="2" t="s">
        <v>45</v>
      </c>
    </row>
    <row r="9" spans="1:17" s="2" customFormat="1" x14ac:dyDescent="0.3">
      <c r="A9" s="2" t="s">
        <v>57</v>
      </c>
      <c r="B9" s="2" t="s">
        <v>67</v>
      </c>
      <c r="C9" s="2" t="s">
        <v>176</v>
      </c>
      <c r="D9" s="2">
        <v>45</v>
      </c>
      <c r="E9" s="2">
        <v>8008</v>
      </c>
      <c r="F9" s="2">
        <v>5.6193806194000002</v>
      </c>
      <c r="G9" s="2" t="s">
        <v>45</v>
      </c>
      <c r="H9" s="2" t="s">
        <v>45</v>
      </c>
      <c r="I9" s="2" t="s">
        <v>45</v>
      </c>
      <c r="J9" s="2" t="s">
        <v>45</v>
      </c>
      <c r="K9" s="2">
        <v>0.73179594690000005</v>
      </c>
      <c r="L9" s="2">
        <v>0.41885662200000001</v>
      </c>
      <c r="M9" s="2">
        <v>1.2785408653000001</v>
      </c>
      <c r="N9" s="1">
        <v>0.2727124474</v>
      </c>
      <c r="O9" s="2" t="s">
        <v>45</v>
      </c>
      <c r="P9" s="2" t="s">
        <v>45</v>
      </c>
      <c r="Q9" s="2" t="s">
        <v>45</v>
      </c>
    </row>
    <row r="10" spans="1:17" s="2" customFormat="1" x14ac:dyDescent="0.3">
      <c r="A10" s="2" t="s">
        <v>57</v>
      </c>
      <c r="B10" s="2" t="s">
        <v>67</v>
      </c>
      <c r="C10" s="2" t="s">
        <v>177</v>
      </c>
      <c r="D10" s="2">
        <v>24</v>
      </c>
      <c r="E10" s="2">
        <v>7796</v>
      </c>
      <c r="F10" s="2">
        <v>3.0785017957999998</v>
      </c>
      <c r="G10" s="2" t="s">
        <v>45</v>
      </c>
      <c r="H10" s="2" t="s">
        <v>45</v>
      </c>
      <c r="I10" s="2" t="s">
        <v>45</v>
      </c>
      <c r="J10" s="2" t="s">
        <v>45</v>
      </c>
      <c r="K10" s="2">
        <v>1.3357926141000001</v>
      </c>
      <c r="L10" s="2">
        <v>0.71763984339999998</v>
      </c>
      <c r="M10" s="2">
        <v>2.4864030671999999</v>
      </c>
      <c r="N10" s="1">
        <v>0.36107315359999997</v>
      </c>
      <c r="O10" s="2" t="s">
        <v>45</v>
      </c>
      <c r="P10" s="2" t="s">
        <v>45</v>
      </c>
      <c r="Q10" s="2" t="s">
        <v>45</v>
      </c>
    </row>
    <row r="11" spans="1:17" s="2" customFormat="1" x14ac:dyDescent="0.3">
      <c r="A11" s="2" t="s">
        <v>57</v>
      </c>
      <c r="B11" s="2" t="s">
        <v>67</v>
      </c>
      <c r="C11" s="2" t="s">
        <v>178</v>
      </c>
      <c r="D11" s="2">
        <v>25</v>
      </c>
      <c r="E11" s="2">
        <v>7651</v>
      </c>
      <c r="F11" s="2">
        <v>3.2675467258999999</v>
      </c>
      <c r="G11" s="2" t="s">
        <v>45</v>
      </c>
      <c r="H11" s="2" t="s">
        <v>45</v>
      </c>
      <c r="I11" s="2" t="s">
        <v>45</v>
      </c>
      <c r="J11" s="2" t="s">
        <v>45</v>
      </c>
      <c r="K11" s="2">
        <v>1.2585099178000001</v>
      </c>
      <c r="L11" s="2">
        <v>0.67962780489999997</v>
      </c>
      <c r="M11" s="2">
        <v>2.3304626468</v>
      </c>
      <c r="N11" s="1">
        <v>0.4645271406</v>
      </c>
      <c r="O11" s="2" t="s">
        <v>45</v>
      </c>
      <c r="P11" s="2" t="s">
        <v>45</v>
      </c>
      <c r="Q11" s="2" t="s">
        <v>45</v>
      </c>
    </row>
    <row r="12" spans="1:17" s="2" customFormat="1" x14ac:dyDescent="0.3">
      <c r="A12" s="2" t="s">
        <v>57</v>
      </c>
      <c r="B12" s="2" t="s">
        <v>67</v>
      </c>
      <c r="C12" s="2" t="s">
        <v>179</v>
      </c>
      <c r="D12" s="2">
        <v>20</v>
      </c>
      <c r="E12" s="2">
        <v>6509</v>
      </c>
      <c r="F12" s="2">
        <v>3.0726686126999998</v>
      </c>
      <c r="G12" s="2" t="s">
        <v>45</v>
      </c>
      <c r="H12" s="2" t="s">
        <v>45</v>
      </c>
      <c r="I12" s="2" t="s">
        <v>45</v>
      </c>
      <c r="J12" s="2" t="s">
        <v>45</v>
      </c>
      <c r="K12" s="2">
        <v>1.3383284954000001</v>
      </c>
      <c r="L12" s="2">
        <v>0.70107560769999999</v>
      </c>
      <c r="M12" s="2">
        <v>2.5548216796999998</v>
      </c>
      <c r="N12" s="1">
        <v>0.37701721669999999</v>
      </c>
      <c r="O12" s="2" t="s">
        <v>45</v>
      </c>
      <c r="P12" s="2" t="s">
        <v>45</v>
      </c>
      <c r="Q12" s="2" t="s">
        <v>45</v>
      </c>
    </row>
    <row r="13" spans="1:17" s="2" customFormat="1" x14ac:dyDescent="0.3">
      <c r="A13" s="2" t="s">
        <v>57</v>
      </c>
      <c r="B13" s="2" t="s">
        <v>69</v>
      </c>
      <c r="C13" s="2" t="s">
        <v>175</v>
      </c>
      <c r="D13" s="2">
        <v>22</v>
      </c>
      <c r="E13" s="2">
        <v>3218</v>
      </c>
      <c r="F13" s="2">
        <v>6.8365444374999997</v>
      </c>
      <c r="G13" s="2">
        <v>1.2756720898</v>
      </c>
      <c r="H13" s="2">
        <v>0.80338348339999999</v>
      </c>
      <c r="I13" s="2">
        <v>2.0256070906999999</v>
      </c>
      <c r="J13" s="1">
        <v>0.30206636640000001</v>
      </c>
      <c r="K13" s="2">
        <v>1.3460680424</v>
      </c>
      <c r="L13" s="2">
        <v>0.74025737759999999</v>
      </c>
      <c r="M13" s="2">
        <v>2.4476610831999999</v>
      </c>
      <c r="N13" s="1">
        <v>0.32999111409999998</v>
      </c>
      <c r="O13" s="2" t="s">
        <v>45</v>
      </c>
      <c r="P13" s="2" t="s">
        <v>45</v>
      </c>
      <c r="Q13" s="2" t="s">
        <v>45</v>
      </c>
    </row>
    <row r="14" spans="1:17" s="2" customFormat="1" x14ac:dyDescent="0.3">
      <c r="A14" s="2" t="s">
        <v>57</v>
      </c>
      <c r="B14" s="2" t="s">
        <v>69</v>
      </c>
      <c r="C14" s="2" t="s">
        <v>176</v>
      </c>
      <c r="D14" s="2">
        <v>14</v>
      </c>
      <c r="E14" s="2">
        <v>4513</v>
      </c>
      <c r="F14" s="2">
        <v>3.1021493463000001</v>
      </c>
      <c r="G14" s="2">
        <v>2.8113375455999998</v>
      </c>
      <c r="H14" s="2">
        <v>1.6058780122</v>
      </c>
      <c r="I14" s="2">
        <v>4.9216806851000001</v>
      </c>
      <c r="J14" s="1">
        <v>2.971049E-4</v>
      </c>
      <c r="K14" s="2">
        <v>2.9664767747999998</v>
      </c>
      <c r="L14" s="2">
        <v>1.5085111271</v>
      </c>
      <c r="M14" s="2">
        <v>5.8335562111000003</v>
      </c>
      <c r="N14" s="1">
        <v>1.6242743999999999E-3</v>
      </c>
      <c r="O14" s="2" t="s">
        <v>82</v>
      </c>
      <c r="P14" s="2" t="s">
        <v>81</v>
      </c>
      <c r="Q14" s="2" t="s">
        <v>45</v>
      </c>
    </row>
    <row r="15" spans="1:17" s="2" customFormat="1" x14ac:dyDescent="0.3">
      <c r="A15" s="2" t="s">
        <v>57</v>
      </c>
      <c r="B15" s="2" t="s">
        <v>69</v>
      </c>
      <c r="C15" s="2" t="s">
        <v>177</v>
      </c>
      <c r="D15" s="2">
        <v>12</v>
      </c>
      <c r="E15" s="2">
        <v>5272</v>
      </c>
      <c r="F15" s="2">
        <v>2.2761760243000002</v>
      </c>
      <c r="G15" s="2">
        <v>3.8315090029999999</v>
      </c>
      <c r="H15" s="2">
        <v>2.1039689750999999</v>
      </c>
      <c r="I15" s="2">
        <v>6.9775084205000004</v>
      </c>
      <c r="J15" s="1">
        <v>1.12288E-5</v>
      </c>
      <c r="K15" s="2">
        <v>4.0429447852999996</v>
      </c>
      <c r="L15" s="2">
        <v>1.9891639793</v>
      </c>
      <c r="M15" s="2">
        <v>8.2172222636000001</v>
      </c>
      <c r="N15" s="1">
        <v>1.132052E-4</v>
      </c>
      <c r="O15" s="2" t="s">
        <v>82</v>
      </c>
      <c r="P15" s="2" t="s">
        <v>81</v>
      </c>
      <c r="Q15" s="2" t="s">
        <v>45</v>
      </c>
    </row>
    <row r="16" spans="1:17" s="2" customFormat="1" x14ac:dyDescent="0.3">
      <c r="A16" s="2" t="s">
        <v>57</v>
      </c>
      <c r="B16" s="2" t="s">
        <v>69</v>
      </c>
      <c r="C16" s="2" t="s">
        <v>178</v>
      </c>
      <c r="D16" s="2">
        <v>17</v>
      </c>
      <c r="E16" s="2">
        <v>5749</v>
      </c>
      <c r="F16" s="2">
        <v>2.9570360063000001</v>
      </c>
      <c r="G16" s="2">
        <v>2.9493008915000001</v>
      </c>
      <c r="H16" s="2">
        <v>1.7623087458</v>
      </c>
      <c r="I16" s="2">
        <v>4.9357842485000001</v>
      </c>
      <c r="J16" s="1">
        <v>3.84442E-5</v>
      </c>
      <c r="K16" s="2">
        <v>3.1120534103000002</v>
      </c>
      <c r="L16" s="2">
        <v>1.6418669231</v>
      </c>
      <c r="M16" s="2">
        <v>5.8986975694000003</v>
      </c>
      <c r="N16" s="1">
        <v>5.0190719999999996E-4</v>
      </c>
      <c r="O16" s="2" t="s">
        <v>82</v>
      </c>
      <c r="P16" s="2" t="s">
        <v>81</v>
      </c>
      <c r="Q16" s="2" t="s">
        <v>45</v>
      </c>
    </row>
    <row r="17" spans="1:23" s="2" customFormat="1" x14ac:dyDescent="0.3">
      <c r="A17" s="2" t="s">
        <v>57</v>
      </c>
      <c r="B17" s="2" t="s">
        <v>69</v>
      </c>
      <c r="C17" s="2" t="s">
        <v>179</v>
      </c>
      <c r="D17" s="2">
        <v>19</v>
      </c>
      <c r="E17" s="2">
        <v>5468</v>
      </c>
      <c r="F17" s="2">
        <v>3.4747622531000002</v>
      </c>
      <c r="G17" s="2">
        <v>2.5098663718999998</v>
      </c>
      <c r="H17" s="2">
        <v>1.5356051131999999</v>
      </c>
      <c r="I17" s="2">
        <v>4.1022455257999999</v>
      </c>
      <c r="J17" s="1">
        <v>2.4153400000000001E-4</v>
      </c>
      <c r="K17" s="2">
        <v>2.6483693897</v>
      </c>
      <c r="L17" s="2">
        <v>1.4238619942999999</v>
      </c>
      <c r="M17" s="2">
        <v>4.9259411743000001</v>
      </c>
      <c r="N17" s="1">
        <v>2.097771E-3</v>
      </c>
      <c r="O17" s="2" t="s">
        <v>82</v>
      </c>
      <c r="P17" s="2" t="s">
        <v>81</v>
      </c>
      <c r="Q17" s="2" t="s">
        <v>45</v>
      </c>
    </row>
    <row r="18" spans="1:23" x14ac:dyDescent="0.3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</row>
    <row r="19" spans="1:23" x14ac:dyDescent="0.3">
      <c r="A19" s="2"/>
      <c r="B19" s="2"/>
    </row>
    <row r="20" spans="1:23" x14ac:dyDescent="0.3">
      <c r="A20" s="2"/>
      <c r="B20" s="2"/>
    </row>
    <row r="22" spans="1:23" x14ac:dyDescent="0.3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7" spans="1:23" x14ac:dyDescent="0.3">
      <c r="P27" s="1"/>
      <c r="V27" s="2"/>
      <c r="W27" s="2"/>
    </row>
    <row r="28" spans="1:23" x14ac:dyDescent="0.3">
      <c r="P28" s="1"/>
      <c r="U28" s="2"/>
      <c r="V28" s="2"/>
      <c r="W28" s="2"/>
    </row>
    <row r="29" spans="1:23" x14ac:dyDescent="0.3">
      <c r="P29" s="1"/>
      <c r="U29" s="2"/>
      <c r="V29" s="2"/>
      <c r="W29" s="2"/>
    </row>
    <row r="30" spans="1:23" x14ac:dyDescent="0.3">
      <c r="P30" s="1"/>
      <c r="U30" s="2"/>
      <c r="V30" s="2"/>
      <c r="W30" s="2"/>
    </row>
    <row r="31" spans="1:23" x14ac:dyDescent="0.3">
      <c r="P31" s="1"/>
      <c r="U31" s="2"/>
      <c r="V31" s="2"/>
      <c r="W31" s="2"/>
    </row>
    <row r="32" spans="1:23" x14ac:dyDescent="0.3">
      <c r="N32" s="1"/>
      <c r="P32" s="1"/>
      <c r="U32" s="2"/>
      <c r="V32" s="2"/>
      <c r="W32" s="2"/>
    </row>
    <row r="33" spans="10:23" x14ac:dyDescent="0.3">
      <c r="N33" s="1"/>
      <c r="P33" s="1"/>
      <c r="U33" s="2"/>
      <c r="V33" s="2"/>
      <c r="W33" s="2"/>
    </row>
    <row r="34" spans="10:23" x14ac:dyDescent="0.3">
      <c r="L34" s="1"/>
      <c r="N34" s="1"/>
      <c r="P34" s="1"/>
      <c r="U34" s="2"/>
      <c r="V34" s="2"/>
      <c r="W34" s="2"/>
    </row>
    <row r="35" spans="10:23" x14ac:dyDescent="0.3">
      <c r="L35" s="1"/>
      <c r="N35" s="1"/>
      <c r="P35" s="1"/>
      <c r="U35" s="2"/>
      <c r="V35" s="2"/>
      <c r="W35" s="2"/>
    </row>
    <row r="36" spans="10:23" x14ac:dyDescent="0.3">
      <c r="L36" s="1"/>
      <c r="N36" s="1"/>
      <c r="P36" s="1"/>
      <c r="U36" s="2"/>
      <c r="V36" s="2"/>
      <c r="W36" s="2"/>
    </row>
    <row r="37" spans="10:23" x14ac:dyDescent="0.3">
      <c r="J37" s="1"/>
      <c r="L37" s="1"/>
      <c r="N37" s="1"/>
      <c r="P37" s="1"/>
      <c r="U37" s="2"/>
      <c r="V37" s="2"/>
      <c r="W37" s="2"/>
    </row>
    <row r="38" spans="10:23" x14ac:dyDescent="0.3">
      <c r="J38" s="1"/>
      <c r="L38" s="1"/>
      <c r="N38" s="1"/>
      <c r="P38" s="1"/>
      <c r="U38" s="2"/>
      <c r="V38" s="2"/>
      <c r="W38" s="2"/>
    </row>
    <row r="39" spans="10:23" x14ac:dyDescent="0.3">
      <c r="J39" s="1"/>
      <c r="L39" s="1"/>
      <c r="N39" s="1"/>
      <c r="P39" s="1"/>
      <c r="U39" s="2"/>
      <c r="V39" s="2"/>
      <c r="W39" s="2"/>
    </row>
    <row r="40" spans="10:23" x14ac:dyDescent="0.3">
      <c r="J40" s="1"/>
      <c r="L40" s="1"/>
      <c r="N40" s="1"/>
      <c r="P40" s="1"/>
      <c r="U40" s="2"/>
      <c r="V40" s="2"/>
      <c r="W40" s="2"/>
    </row>
    <row r="41" spans="10:23" x14ac:dyDescent="0.3">
      <c r="J41" s="1"/>
      <c r="L41" s="1"/>
      <c r="N41" s="1"/>
      <c r="P41" s="1"/>
      <c r="U41" s="2"/>
      <c r="V41" s="2"/>
      <c r="W41" s="2"/>
    </row>
    <row r="42" spans="10:23" x14ac:dyDescent="0.3">
      <c r="U42" s="2"/>
      <c r="V42" s="2"/>
      <c r="W42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6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Appendix Tables</vt:lpstr>
      <vt:lpstr>Dashboard</vt:lpstr>
      <vt:lpstr>Data_Sheet</vt:lpstr>
      <vt:lpstr>orig_rha</vt:lpstr>
      <vt:lpstr>orig_tribal</vt:lpstr>
      <vt:lpstr>orig_income</vt:lpstr>
      <vt:lpstr>RHA_Graph</vt:lpstr>
      <vt:lpstr>Income_quint_LH</vt:lpstr>
      <vt:lpstr>'Appendix Tables'!Print_Area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Leanne Rajotte</dc:creator>
  <cp:lastModifiedBy>Jennifer Schultz</cp:lastModifiedBy>
  <cp:lastPrinted>2020-10-20T14:40:34Z</cp:lastPrinted>
  <dcterms:created xsi:type="dcterms:W3CDTF">2014-11-19T15:50:24Z</dcterms:created>
  <dcterms:modified xsi:type="dcterms:W3CDTF">2020-10-30T16:48:23Z</dcterms:modified>
</cp:coreProperties>
</file>