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fnkids\Figures_tables\Fig_Tbl_Online_Supplement\"/>
    </mc:Choice>
  </mc:AlternateContent>
  <bookViews>
    <workbookView xWindow="0" yWindow="0" windowWidth="11400" windowHeight="9108" tabRatio="894"/>
  </bookViews>
  <sheets>
    <sheet name="Appendix Tables" sheetId="19" r:id="rId1"/>
    <sheet name="RHA_Graph" sheetId="5" r:id="rId2"/>
    <sheet name="Income_quint_LH" sheetId="22" r:id="rId3"/>
    <sheet name="Dashboard" sheetId="21" r:id="rId4"/>
    <sheet name="Data_Sheet" sheetId="4" r:id="rId5"/>
    <sheet name="orig_rha" sheetId="15" r:id="rId6"/>
    <sheet name="orig_tribal" sheetId="17" r:id="rId7"/>
    <sheet name="orig_income" sheetId="20" r:id="rId8"/>
  </sheets>
  <externalReferences>
    <externalReference r:id="rId9"/>
  </externalReferences>
  <definedNames>
    <definedName name="Criteria1">IF((CELL("contents",'[1]district graph data'!E1))="2"," (2)")</definedName>
    <definedName name="_xlnm.Print_Area" localSheetId="0">'Appendix Tables'!$B$1:$K$27</definedName>
  </definedNames>
  <calcPr calcId="162913"/>
</workbook>
</file>

<file path=xl/calcChain.xml><?xml version="1.0" encoding="utf-8"?>
<calcChain xmlns="http://schemas.openxmlformats.org/spreadsheetml/2006/main">
  <c r="J33" i="4" l="1"/>
  <c r="G27" i="4"/>
  <c r="G28" i="4"/>
  <c r="G26" i="4"/>
  <c r="G29" i="4"/>
  <c r="G25" i="4"/>
  <c r="G32" i="4"/>
  <c r="G31" i="4"/>
  <c r="G30" i="4"/>
  <c r="G33" i="4"/>
  <c r="G16" i="4"/>
  <c r="G17" i="4"/>
  <c r="G15" i="4"/>
  <c r="G18" i="4"/>
  <c r="G14" i="4"/>
  <c r="G21" i="4"/>
  <c r="G20" i="4"/>
  <c r="G19" i="4"/>
  <c r="G22" i="4"/>
  <c r="G24" i="4"/>
  <c r="G13" i="4"/>
  <c r="C19" i="21" l="1"/>
  <c r="C17" i="21"/>
  <c r="D17" i="21" s="1"/>
  <c r="C16" i="21"/>
  <c r="D16" i="21" s="1"/>
  <c r="C14" i="21"/>
  <c r="C18" i="21" l="1"/>
  <c r="B16" i="19" l="1"/>
  <c r="B17" i="19"/>
  <c r="B18" i="19"/>
  <c r="B19" i="19"/>
  <c r="B20" i="19"/>
  <c r="B21" i="19"/>
  <c r="B22" i="19"/>
  <c r="B23" i="19"/>
  <c r="B24" i="19"/>
  <c r="B15" i="19"/>
  <c r="D18" i="21"/>
  <c r="B19" i="21"/>
  <c r="I13" i="4"/>
  <c r="B18" i="21"/>
  <c r="D19" i="21"/>
  <c r="H27" i="4"/>
  <c r="H28" i="4"/>
  <c r="H26" i="4"/>
  <c r="H29" i="4"/>
  <c r="H25" i="4"/>
  <c r="H32" i="4"/>
  <c r="H31" i="4"/>
  <c r="H30" i="4"/>
  <c r="H33" i="4"/>
  <c r="H24" i="4"/>
  <c r="I16" i="4"/>
  <c r="I17" i="4"/>
  <c r="I15" i="4"/>
  <c r="I18" i="4"/>
  <c r="I14" i="4"/>
  <c r="I21" i="4"/>
  <c r="I20" i="4"/>
  <c r="I19" i="4"/>
  <c r="I22" i="4"/>
  <c r="C15" i="21"/>
  <c r="B15" i="21"/>
  <c r="B14" i="21"/>
  <c r="D20" i="21" l="1"/>
  <c r="H16" i="4"/>
  <c r="E16" i="4" s="1"/>
  <c r="F16" i="4" s="1"/>
  <c r="H17" i="4"/>
  <c r="E17" i="4" s="1"/>
  <c r="F17" i="4" s="1"/>
  <c r="H15" i="4"/>
  <c r="E15" i="4" s="1"/>
  <c r="F15" i="4" s="1"/>
  <c r="H18" i="4"/>
  <c r="E18" i="4" s="1"/>
  <c r="F18" i="4" s="1"/>
  <c r="H14" i="4"/>
  <c r="E14" i="4" s="1"/>
  <c r="F14" i="4" s="1"/>
  <c r="H21" i="4"/>
  <c r="E21" i="4" s="1"/>
  <c r="F21" i="4" s="1"/>
  <c r="H20" i="4"/>
  <c r="E20" i="4" s="1"/>
  <c r="F20" i="4" s="1"/>
  <c r="H19" i="4"/>
  <c r="E19" i="4" s="1"/>
  <c r="F19" i="4" s="1"/>
  <c r="H22" i="4"/>
  <c r="E22" i="4" s="1"/>
  <c r="F22" i="4" s="1"/>
  <c r="J16" i="4"/>
  <c r="J17" i="4"/>
  <c r="J15" i="4"/>
  <c r="J18" i="4"/>
  <c r="J14" i="4"/>
  <c r="J21" i="4"/>
  <c r="J20" i="4"/>
  <c r="J19" i="4"/>
  <c r="J22" i="4"/>
  <c r="J24" i="4"/>
  <c r="J27" i="4"/>
  <c r="J28" i="4"/>
  <c r="J26" i="4"/>
  <c r="J29" i="4"/>
  <c r="J25" i="4"/>
  <c r="J32" i="4"/>
  <c r="J31" i="4"/>
  <c r="J30" i="4"/>
  <c r="J13" i="4"/>
  <c r="H13" i="4"/>
  <c r="E13" i="4" s="1"/>
  <c r="F13" i="4" s="1"/>
  <c r="K19" i="4" l="1"/>
  <c r="M16" i="4" l="1"/>
  <c r="M17" i="4"/>
  <c r="M15" i="4"/>
  <c r="M18" i="4"/>
  <c r="M14" i="4"/>
  <c r="M21" i="4"/>
  <c r="M20" i="4"/>
  <c r="M19" i="4"/>
  <c r="M22" i="4"/>
  <c r="M23" i="4"/>
  <c r="M24" i="4"/>
  <c r="E15" i="19" s="1"/>
  <c r="M27" i="4"/>
  <c r="M28" i="4"/>
  <c r="M26" i="4"/>
  <c r="M29" i="4"/>
  <c r="M25" i="4"/>
  <c r="M32" i="4"/>
  <c r="M31" i="4"/>
  <c r="M30" i="4"/>
  <c r="M33" i="4"/>
  <c r="E24" i="19" s="1"/>
  <c r="M34" i="4"/>
  <c r="E25" i="19" s="1"/>
  <c r="M13" i="4"/>
  <c r="K24" i="4"/>
  <c r="F15" i="19" s="1"/>
  <c r="K27" i="4"/>
  <c r="K28" i="4"/>
  <c r="K26" i="4"/>
  <c r="K29" i="4"/>
  <c r="K25" i="4"/>
  <c r="K32" i="4"/>
  <c r="K31" i="4"/>
  <c r="K30" i="4"/>
  <c r="K33" i="4"/>
  <c r="F24" i="19" s="1"/>
  <c r="K34" i="4"/>
  <c r="F25" i="19" s="1"/>
  <c r="K16" i="4"/>
  <c r="K17" i="4"/>
  <c r="K15" i="4"/>
  <c r="K18" i="4"/>
  <c r="K14" i="4"/>
  <c r="K21" i="4"/>
  <c r="K20" i="4"/>
  <c r="K22" i="4"/>
  <c r="K23" i="4"/>
  <c r="K13" i="4"/>
  <c r="F20" i="19" l="1"/>
  <c r="E20" i="19"/>
  <c r="F16" i="19"/>
  <c r="E16" i="19"/>
  <c r="F17" i="19"/>
  <c r="E17" i="19"/>
  <c r="L27" i="4"/>
  <c r="L26" i="4"/>
  <c r="L25" i="4"/>
  <c r="L31" i="4"/>
  <c r="L33" i="4"/>
  <c r="L24" i="4"/>
  <c r="L28" i="4"/>
  <c r="L29" i="4"/>
  <c r="L32" i="4"/>
  <c r="L30" i="4"/>
  <c r="L34" i="4"/>
  <c r="U5" i="4" l="1"/>
  <c r="J7" i="19" s="1"/>
  <c r="U6" i="4"/>
  <c r="J8" i="19" s="1"/>
  <c r="U7" i="4"/>
  <c r="J9" i="19" s="1"/>
  <c r="U8" i="4"/>
  <c r="J10" i="19" s="1"/>
  <c r="U4" i="4"/>
  <c r="J6" i="19" s="1"/>
  <c r="U9" i="4"/>
  <c r="J11" i="19" s="1"/>
  <c r="U3" i="4"/>
  <c r="T5" i="4"/>
  <c r="H7" i="19" s="1"/>
  <c r="T6" i="4"/>
  <c r="H8" i="19" s="1"/>
  <c r="T7" i="4"/>
  <c r="H9" i="19" s="1"/>
  <c r="T8" i="4"/>
  <c r="H10" i="19" s="1"/>
  <c r="T4" i="4"/>
  <c r="H6" i="19" s="1"/>
  <c r="T3" i="4"/>
  <c r="S9" i="4"/>
  <c r="F11" i="19" s="1"/>
  <c r="S5" i="4"/>
  <c r="F7" i="19" s="1"/>
  <c r="S6" i="4"/>
  <c r="F8" i="19" s="1"/>
  <c r="S7" i="4"/>
  <c r="S8" i="4"/>
  <c r="F10" i="19" s="1"/>
  <c r="S4" i="4"/>
  <c r="S3" i="4"/>
  <c r="R9" i="4"/>
  <c r="D11" i="19" s="1"/>
  <c r="R5" i="4"/>
  <c r="R6" i="4"/>
  <c r="D8" i="19" s="1"/>
  <c r="R7" i="4"/>
  <c r="D9" i="19" s="1"/>
  <c r="R8" i="4"/>
  <c r="D10" i="19" s="1"/>
  <c r="R4" i="4"/>
  <c r="D6" i="19" s="1"/>
  <c r="R3" i="4"/>
  <c r="M44" i="4" l="1"/>
  <c r="N44" i="4" s="1"/>
  <c r="M43" i="4"/>
  <c r="N43" i="4" s="1"/>
  <c r="M42" i="4"/>
  <c r="N42" i="4" s="1"/>
  <c r="M41" i="4"/>
  <c r="N41" i="4" s="1"/>
  <c r="M40" i="4"/>
  <c r="N40" i="4" s="1"/>
  <c r="M39" i="4"/>
  <c r="N39" i="4" s="1"/>
  <c r="M38" i="4"/>
  <c r="N38" i="4" s="1"/>
  <c r="J52" i="4"/>
  <c r="K52" i="4" s="1"/>
  <c r="J51" i="4"/>
  <c r="K51" i="4" s="1"/>
  <c r="J50" i="4"/>
  <c r="K50" i="4" s="1"/>
  <c r="J49" i="4"/>
  <c r="K49" i="4" s="1"/>
  <c r="J48" i="4"/>
  <c r="K48" i="4" s="1"/>
  <c r="C38" i="21" l="1"/>
  <c r="C30" i="21"/>
  <c r="C37" i="21" l="1"/>
  <c r="C36" i="21"/>
  <c r="C35" i="21"/>
  <c r="B37" i="21"/>
  <c r="B36" i="21"/>
  <c r="B35" i="21"/>
  <c r="C29" i="21"/>
  <c r="C28" i="21"/>
  <c r="C27" i="21"/>
  <c r="C26" i="21"/>
  <c r="C25" i="21"/>
  <c r="C24" i="21"/>
  <c r="B29" i="21"/>
  <c r="B28" i="21"/>
  <c r="B27" i="21"/>
  <c r="B26" i="21"/>
  <c r="B25" i="21"/>
  <c r="B24" i="21"/>
  <c r="C6" i="21"/>
  <c r="C5" i="21"/>
  <c r="C4" i="21"/>
  <c r="C3" i="21"/>
  <c r="D3" i="21" s="1"/>
  <c r="C8" i="21"/>
  <c r="C7" i="21"/>
  <c r="I50" i="4" l="1"/>
  <c r="H49" i="4"/>
  <c r="G48" i="4"/>
  <c r="L40" i="4"/>
  <c r="K40" i="4"/>
  <c r="J39" i="4"/>
  <c r="I39" i="4"/>
  <c r="H38" i="4"/>
  <c r="G38" i="4"/>
  <c r="D23" i="19"/>
  <c r="D22" i="19"/>
  <c r="D21" i="19"/>
  <c r="D20" i="19"/>
  <c r="D19" i="19"/>
  <c r="D17" i="19"/>
  <c r="D16" i="19"/>
  <c r="D15" i="19"/>
  <c r="D25" i="19" l="1"/>
  <c r="T9" i="4"/>
  <c r="H11" i="19" s="1"/>
  <c r="P9" i="4"/>
  <c r="O9" i="4"/>
  <c r="AB9" i="4" s="1"/>
  <c r="N9" i="4"/>
  <c r="M9" i="4"/>
  <c r="Z9" i="4" s="1"/>
  <c r="L9" i="4"/>
  <c r="K9" i="4"/>
  <c r="J9" i="4"/>
  <c r="I9" i="4"/>
  <c r="H9" i="4"/>
  <c r="G9" i="4"/>
  <c r="L8" i="4"/>
  <c r="L7" i="4"/>
  <c r="L6" i="4"/>
  <c r="L5" i="4"/>
  <c r="L4" i="4"/>
  <c r="K8" i="4"/>
  <c r="K7" i="4"/>
  <c r="K6" i="4"/>
  <c r="K5" i="4"/>
  <c r="K4" i="4"/>
  <c r="J8" i="4"/>
  <c r="J7" i="4"/>
  <c r="J6" i="4"/>
  <c r="J5" i="4"/>
  <c r="J4" i="4"/>
  <c r="I8" i="4"/>
  <c r="I7" i="4"/>
  <c r="I6" i="4"/>
  <c r="I5" i="4"/>
  <c r="I4" i="4"/>
  <c r="H8" i="4"/>
  <c r="H7" i="4"/>
  <c r="H6" i="4"/>
  <c r="H5" i="4"/>
  <c r="H4" i="4"/>
  <c r="G8" i="4"/>
  <c r="G7" i="4"/>
  <c r="G6" i="4"/>
  <c r="G5" i="4"/>
  <c r="G4" i="4"/>
  <c r="AC9" i="4" l="1"/>
  <c r="AA9" i="4"/>
  <c r="E50" i="4" l="1"/>
  <c r="F50" i="4" s="1"/>
  <c r="C50" i="4" s="1"/>
  <c r="E49" i="4"/>
  <c r="F49" i="4" s="1"/>
  <c r="C49" i="4" s="1"/>
  <c r="E48" i="4"/>
  <c r="F48" i="4" s="1"/>
  <c r="C48" i="4" s="1"/>
  <c r="C51" i="4"/>
  <c r="C52" i="4"/>
  <c r="E38" i="4"/>
  <c r="F38" i="4" s="1"/>
  <c r="C38" i="4" s="1"/>
  <c r="D35" i="21"/>
  <c r="D36" i="21"/>
  <c r="D37" i="21"/>
  <c r="D38" i="21"/>
  <c r="O6" i="4"/>
  <c r="N8" i="4"/>
  <c r="AA8" i="4" s="1"/>
  <c r="E10" i="19" s="1"/>
  <c r="P8" i="4"/>
  <c r="L19" i="4"/>
  <c r="C25" i="19"/>
  <c r="C44" i="4"/>
  <c r="C43" i="4"/>
  <c r="C42" i="4"/>
  <c r="C41" i="4"/>
  <c r="D28" i="21"/>
  <c r="D27" i="21"/>
  <c r="D26" i="21"/>
  <c r="D25" i="21"/>
  <c r="D24" i="21"/>
  <c r="M5" i="4"/>
  <c r="N5" i="4"/>
  <c r="AA5" i="4" s="1"/>
  <c r="E7" i="19" s="1"/>
  <c r="O5" i="4"/>
  <c r="P5" i="4"/>
  <c r="AC5" i="4" s="1"/>
  <c r="I7" i="19" s="1"/>
  <c r="M6" i="4"/>
  <c r="N6" i="4"/>
  <c r="AA6" i="4" s="1"/>
  <c r="E8" i="19" s="1"/>
  <c r="P6" i="4"/>
  <c r="M7" i="4"/>
  <c r="N7" i="4"/>
  <c r="O7" i="4"/>
  <c r="P7" i="4"/>
  <c r="AC7" i="4" s="1"/>
  <c r="I9" i="19" s="1"/>
  <c r="M8" i="4"/>
  <c r="O8" i="4"/>
  <c r="D8" i="21"/>
  <c r="D7" i="21"/>
  <c r="D5" i="21"/>
  <c r="D4" i="21"/>
  <c r="B8" i="21"/>
  <c r="B7" i="21"/>
  <c r="B6" i="21"/>
  <c r="B5" i="21"/>
  <c r="B4" i="21"/>
  <c r="B3" i="21"/>
  <c r="C20" i="4"/>
  <c r="C15" i="4"/>
  <c r="D6" i="21"/>
  <c r="E4" i="4"/>
  <c r="F4" i="4" s="1"/>
  <c r="C4" i="4" s="1"/>
  <c r="D29" i="21"/>
  <c r="I11" i="19"/>
  <c r="P4" i="4"/>
  <c r="O4" i="4"/>
  <c r="N4" i="4"/>
  <c r="M4" i="4"/>
  <c r="AC4" i="4"/>
  <c r="I6" i="19" s="1"/>
  <c r="C22" i="19"/>
  <c r="C21" i="19"/>
  <c r="D30" i="21"/>
  <c r="Y6" i="4"/>
  <c r="X7" i="4"/>
  <c r="W6" i="4"/>
  <c r="V8" i="4"/>
  <c r="AC3" i="4"/>
  <c r="AB3" i="4"/>
  <c r="AA3" i="4"/>
  <c r="Z3" i="4"/>
  <c r="E9" i="4"/>
  <c r="F9" i="4" s="1"/>
  <c r="C9" i="4" s="1"/>
  <c r="E8" i="4"/>
  <c r="F8" i="4" s="1"/>
  <c r="C8" i="4" s="1"/>
  <c r="E7" i="4"/>
  <c r="F7" i="4" s="1"/>
  <c r="C7" i="4" s="1"/>
  <c r="E6" i="4"/>
  <c r="F6" i="4" s="1"/>
  <c r="C6" i="4" s="1"/>
  <c r="E5" i="4"/>
  <c r="F5" i="4" s="1"/>
  <c r="C5" i="4" s="1"/>
  <c r="M3" i="4"/>
  <c r="N3" i="4"/>
  <c r="O3" i="4"/>
  <c r="P3" i="4"/>
  <c r="G3" i="4"/>
  <c r="H3" i="4"/>
  <c r="I3" i="4"/>
  <c r="J3" i="4"/>
  <c r="K3" i="4"/>
  <c r="L3" i="4"/>
  <c r="Q5" i="4"/>
  <c r="Q6" i="4"/>
  <c r="Q7" i="4"/>
  <c r="Q8" i="4"/>
  <c r="Q9" i="4"/>
  <c r="Q4" i="4"/>
  <c r="W7" i="4"/>
  <c r="L22" i="4"/>
  <c r="X6" i="4"/>
  <c r="V5" i="4"/>
  <c r="X4" i="4"/>
  <c r="V6" i="4"/>
  <c r="W8" i="4"/>
  <c r="V9" i="4"/>
  <c r="X5" i="4"/>
  <c r="V7" i="4"/>
  <c r="W9" i="4"/>
  <c r="V4" i="4"/>
  <c r="AC6" i="4" l="1"/>
  <c r="I8" i="19" s="1"/>
  <c r="Z6" i="4"/>
  <c r="C8" i="19" s="1"/>
  <c r="AC8" i="4"/>
  <c r="I10" i="19" s="1"/>
  <c r="C9" i="21"/>
  <c r="D9" i="21" s="1"/>
  <c r="D10" i="21" s="1"/>
  <c r="AB8" i="4"/>
  <c r="G10" i="19" s="1"/>
  <c r="C17" i="19"/>
  <c r="C16" i="19"/>
  <c r="AA4" i="4"/>
  <c r="E6" i="19" s="1"/>
  <c r="Z5" i="4"/>
  <c r="AB5" i="4"/>
  <c r="G7" i="19" s="1"/>
  <c r="AA7" i="4"/>
  <c r="E9" i="19" s="1"/>
  <c r="E11" i="19"/>
  <c r="E39" i="4"/>
  <c r="F39" i="4" s="1"/>
  <c r="C39" i="4" s="1"/>
  <c r="E40" i="4"/>
  <c r="F40" i="4" s="1"/>
  <c r="C40" i="4" s="1"/>
  <c r="D31" i="21"/>
  <c r="D39" i="21"/>
  <c r="C16" i="4"/>
  <c r="C22" i="4"/>
  <c r="L18" i="4"/>
  <c r="C14" i="4"/>
  <c r="C18" i="4"/>
  <c r="C19" i="4"/>
  <c r="L15" i="4"/>
  <c r="L14" i="4"/>
  <c r="L23" i="4"/>
  <c r="L17" i="4"/>
  <c r="C17" i="4"/>
  <c r="C21" i="4"/>
  <c r="C15" i="19"/>
  <c r="L21" i="4"/>
  <c r="L20" i="4"/>
  <c r="L13" i="4"/>
  <c r="L16" i="4"/>
  <c r="C20" i="19"/>
  <c r="C19" i="19"/>
  <c r="C23" i="19"/>
  <c r="Y4" i="4"/>
  <c r="Y7" i="4"/>
  <c r="W5" i="4"/>
  <c r="X9" i="4"/>
  <c r="Y5" i="4"/>
  <c r="Y8" i="4"/>
  <c r="W4" i="4"/>
  <c r="X8" i="4"/>
  <c r="Y9" i="4"/>
  <c r="Z4" i="4"/>
  <c r="C6" i="19" s="1"/>
  <c r="AB4" i="4"/>
  <c r="G6" i="19" s="1"/>
  <c r="AB6" i="4"/>
  <c r="G8" i="19" s="1"/>
  <c r="Z7" i="4"/>
  <c r="C9" i="19" s="1"/>
  <c r="AB7" i="4"/>
  <c r="G9" i="19" s="1"/>
  <c r="Z8" i="4"/>
  <c r="C10" i="19" s="1"/>
  <c r="C11" i="19"/>
  <c r="G11" i="19"/>
  <c r="C13" i="4" l="1"/>
</calcChain>
</file>

<file path=xl/sharedStrings.xml><?xml version="1.0" encoding="utf-8"?>
<sst xmlns="http://schemas.openxmlformats.org/spreadsheetml/2006/main" count="890" uniqueCount="208">
  <si>
    <t>Manitoba</t>
  </si>
  <si>
    <t>Notation</t>
  </si>
  <si>
    <t>Supression</t>
  </si>
  <si>
    <t xml:space="preserve">     </t>
  </si>
  <si>
    <t/>
  </si>
  <si>
    <t>Independent-North</t>
  </si>
  <si>
    <t>Independent-South</t>
  </si>
  <si>
    <t>Rate</t>
  </si>
  <si>
    <t>area</t>
  </si>
  <si>
    <t>FN_ON_pop</t>
  </si>
  <si>
    <t>FN_ON_prob</t>
  </si>
  <si>
    <t>FN_ON_crd_rate</t>
  </si>
  <si>
    <t>FN_ON_relrisk</t>
  </si>
  <si>
    <t>FN_ON_Lcl_rr</t>
  </si>
  <si>
    <t>FN_ON_Ucl_rr</t>
  </si>
  <si>
    <t>FN_OFF_pop</t>
  </si>
  <si>
    <t>FN_OFF_prob</t>
  </si>
  <si>
    <t>FN_OFF_crd_rate</t>
  </si>
  <si>
    <t>FN_OFF_relrisk</t>
  </si>
  <si>
    <t>FN_OFF_Lcl_rr</t>
  </si>
  <si>
    <t>FN_OFF_Ucl_rr</t>
  </si>
  <si>
    <t>FN_pop</t>
  </si>
  <si>
    <t>FN_prob</t>
  </si>
  <si>
    <t>FN_crd_rate</t>
  </si>
  <si>
    <t>FN_relrisk</t>
  </si>
  <si>
    <t>FN_Lcl_rr</t>
  </si>
  <si>
    <t>FN_Ucl_rr</t>
  </si>
  <si>
    <t>ONvsOFF_prob</t>
  </si>
  <si>
    <t>ONvsOFF_relrisk</t>
  </si>
  <si>
    <t>ONvsOFF_lcl_rr</t>
  </si>
  <si>
    <t>ONvsOFF_ucl_rr</t>
  </si>
  <si>
    <t>FN_ON_sign</t>
  </si>
  <si>
    <t>FN_OFF_sign</t>
  </si>
  <si>
    <t>FN_sign</t>
  </si>
  <si>
    <t>ONvsOFF_sign</t>
  </si>
  <si>
    <t>FN_ON_suppress</t>
  </si>
  <si>
    <t>FN_OFF_suppress</t>
  </si>
  <si>
    <t>FN_suppress</t>
  </si>
  <si>
    <t xml:space="preserve"> </t>
  </si>
  <si>
    <t>Z Manitoba</t>
  </si>
  <si>
    <t>On-Reserve vs Off-Reserve</t>
  </si>
  <si>
    <t>tribal_council</t>
  </si>
  <si>
    <t xml:space="preserve">Prairie Mountain Health </t>
  </si>
  <si>
    <t>First Nations On-Reserve</t>
  </si>
  <si>
    <t>First Nations</t>
  </si>
  <si>
    <t>First Nations Off-Reserve</t>
  </si>
  <si>
    <t>Count</t>
  </si>
  <si>
    <t>Health Region</t>
  </si>
  <si>
    <t>Non-affiliated</t>
  </si>
  <si>
    <t>All Other Manitobans</t>
  </si>
  <si>
    <t>Urban Off-Reserve</t>
  </si>
  <si>
    <t>Rural On-Reserve</t>
  </si>
  <si>
    <t>Rural Off-Reserve</t>
  </si>
  <si>
    <t>cohort</t>
  </si>
  <si>
    <t>rural</t>
  </si>
  <si>
    <t>count</t>
  </si>
  <si>
    <t>pop</t>
  </si>
  <si>
    <t>crd_rate</t>
  </si>
  <si>
    <t>suppress</t>
  </si>
  <si>
    <t>Urban</t>
  </si>
  <si>
    <t>First Nations Off Reserve</t>
  </si>
  <si>
    <t>Rural</t>
  </si>
  <si>
    <t>First Nations On Reserve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</si>
  <si>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</si>
  <si>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</si>
  <si>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</si>
  <si>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</si>
  <si>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</si>
  <si>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All First Nations</t>
  </si>
  <si>
    <t>Southern Health-Santé Sud</t>
  </si>
  <si>
    <t>Winnipeg RHA</t>
  </si>
  <si>
    <t>Interlake-Eastern RHA</t>
  </si>
  <si>
    <t>Northern Health Region</t>
  </si>
  <si>
    <t>orig_rha</t>
  </si>
  <si>
    <t>footnote</t>
  </si>
  <si>
    <t>footnote for graph:</t>
  </si>
  <si>
    <t>footnote for graph</t>
  </si>
  <si>
    <t>orig_tribal</t>
  </si>
  <si>
    <t>Keewatin (KTC)</t>
  </si>
  <si>
    <t>Island Lake (ILTC)</t>
  </si>
  <si>
    <t>Swampy Cree (SCTC)</t>
  </si>
  <si>
    <t>Interlake Reserves (IRTC)</t>
  </si>
  <si>
    <t>Dakota Ojibway TC (DOTC)</t>
  </si>
  <si>
    <t>West Region (WRTC)</t>
  </si>
  <si>
    <t>Other Manitobans</t>
  </si>
  <si>
    <t>RHA</t>
  </si>
  <si>
    <t>avgs</t>
  </si>
  <si>
    <t>counts</t>
  </si>
  <si>
    <t>Avg</t>
  </si>
  <si>
    <t>crude rates</t>
  </si>
  <si>
    <t>n/a</t>
  </si>
  <si>
    <t>n/a   Not applicable</t>
  </si>
  <si>
    <t>Labels</t>
  </si>
  <si>
    <t>Stat sign</t>
  </si>
  <si>
    <t>Dummy variable</t>
  </si>
  <si>
    <t>'s'     Data suppressed due to small numbers</t>
  </si>
  <si>
    <t>Tribal Council Areas</t>
  </si>
  <si>
    <t>Health Regions</t>
  </si>
  <si>
    <t>Counts</t>
  </si>
  <si>
    <t>Crude rates</t>
  </si>
  <si>
    <t>Rural On-Reserve vs MB Other Lowest Rural</t>
  </si>
  <si>
    <t>Urban Off-Reserve vs MB Other Lowest Urban</t>
  </si>
  <si>
    <t>Urban Off-Reserve vs MB Other Highest Urban</t>
  </si>
  <si>
    <t>Rural On-Reserve vs MB Other Highest Rural</t>
  </si>
  <si>
    <t>Rural Off-Reserve vs MB Other Lowest Rural</t>
  </si>
  <si>
    <t>Rural Off-Reserve vs MB Other Highest Rural</t>
  </si>
  <si>
    <t>BM_sign</t>
  </si>
  <si>
    <t>b</t>
  </si>
  <si>
    <t>BM_relrisk</t>
  </si>
  <si>
    <t>BM_lcl_rr</t>
  </si>
  <si>
    <t>BM_ucl_rr</t>
  </si>
  <si>
    <t>First Nations On-Reserve Avg</t>
  </si>
  <si>
    <t>Lowest Urban</t>
  </si>
  <si>
    <t>Highest Urban</t>
  </si>
  <si>
    <t>Lowest Rural</t>
  </si>
  <si>
    <t>Highest Rural</t>
  </si>
  <si>
    <t>ON RESERVE</t>
  </si>
  <si>
    <t>Southeast (SERDC)</t>
  </si>
  <si>
    <t>BY TRIBAL COUNCIL AREA - ON RESERVE</t>
  </si>
  <si>
    <t>Tribal Council Area</t>
  </si>
  <si>
    <t>First Nations Average</t>
  </si>
  <si>
    <t>First Nations Off-Reserve Avg</t>
  </si>
  <si>
    <t>On-Reserve vs On-reserve Avg</t>
  </si>
  <si>
    <t>Off-Reserve vs Off-reserve Avg</t>
  </si>
  <si>
    <t>All First Nations vs All First Nation Avg</t>
  </si>
  <si>
    <t>All Other Manitobans vs All Other Manitobans Avg</t>
  </si>
  <si>
    <t>All First Nations vs All Other Mnaitobans</t>
  </si>
  <si>
    <t>All First Nations Avg</t>
  </si>
  <si>
    <t>All Other Manitobans Avg</t>
  </si>
  <si>
    <t>BY RHA GRAPH</t>
  </si>
  <si>
    <t>BY INCOME GRAPH</t>
  </si>
  <si>
    <t>BY INCOME GRAPH - lowest income only</t>
  </si>
  <si>
    <t>a</t>
  </si>
  <si>
    <t>AOMB_pop</t>
  </si>
  <si>
    <t>AOMB_crd_rate</t>
  </si>
  <si>
    <t>AOMB_relrisk</t>
  </si>
  <si>
    <t>AOMB_Lcl_rr</t>
  </si>
  <si>
    <t>AOMB_Ucl_rr</t>
  </si>
  <si>
    <t>AOMB_prob</t>
  </si>
  <si>
    <t>FNvsAOMB_relrisk</t>
  </si>
  <si>
    <t>FNvsAOMB_lcl_rr</t>
  </si>
  <si>
    <t>FNvsAOMB_ucl_rr</t>
  </si>
  <si>
    <t>FNvsAOMB_prob</t>
  </si>
  <si>
    <t>AOMB_sign</t>
  </si>
  <si>
    <t>FNvsAOMB_sign</t>
  </si>
  <si>
    <t>AOMB_suppress</t>
  </si>
  <si>
    <t>PT Public Trustee</t>
  </si>
  <si>
    <t>BM_prob</t>
  </si>
  <si>
    <t>tribal_pop</t>
  </si>
  <si>
    <t>tribal_crd_rate</t>
  </si>
  <si>
    <t>bm_tribal</t>
  </si>
  <si>
    <t>Keewatin</t>
  </si>
  <si>
    <t>Interlake Reserves</t>
  </si>
  <si>
    <t>Island Lake</t>
  </si>
  <si>
    <t>Dakota Ojibway</t>
  </si>
  <si>
    <t>Swampy Cree Nation</t>
  </si>
  <si>
    <t>West Region</t>
  </si>
  <si>
    <t>Southeast Resource</t>
  </si>
  <si>
    <t>s</t>
  </si>
  <si>
    <t>chquint</t>
  </si>
  <si>
    <t>Z</t>
  </si>
  <si>
    <t>Q1</t>
  </si>
  <si>
    <t>Q2</t>
  </si>
  <si>
    <t>Q3</t>
  </si>
  <si>
    <t>Q4</t>
  </si>
  <si>
    <t>Q5</t>
  </si>
  <si>
    <t>Crude Rates</t>
  </si>
  <si>
    <t>On-Reserve vs benchmark</t>
  </si>
  <si>
    <t>tribal_lcl_crd</t>
  </si>
  <si>
    <t>tribal_ucl_crd</t>
  </si>
  <si>
    <t>tribal_relrisk</t>
  </si>
  <si>
    <t>tribal_lcl_rr</t>
  </si>
  <si>
    <t>tribal_ucl_rr</t>
  </si>
  <si>
    <t>tribal_prob</t>
  </si>
  <si>
    <t>tribal_ONvsOFF_relrisk</t>
  </si>
  <si>
    <t>tribal_ONvsOFF_lcl_rr</t>
  </si>
  <si>
    <t>tribal_ONvsOFF_ucl_rr</t>
  </si>
  <si>
    <t>tribal_ONvsOFF_prob</t>
  </si>
  <si>
    <t>tribal_sign</t>
  </si>
  <si>
    <t>tribal_ONvsOFF_sign</t>
  </si>
  <si>
    <t>tribal_suppress</t>
  </si>
  <si>
    <t>BM_suppress</t>
  </si>
  <si>
    <t>tribal_ONvsOFF_suppress</t>
  </si>
  <si>
    <t>All FN On Reserve</t>
  </si>
  <si>
    <t>All FN Off Reserve</t>
  </si>
  <si>
    <t>First Nations On/Off Reserve Avg</t>
  </si>
  <si>
    <t>First Nations On/off Reserve</t>
  </si>
  <si>
    <t xml:space="preserve">Tribal On vs Off </t>
  </si>
  <si>
    <t xml:space="preserve">  </t>
  </si>
  <si>
    <t>ON &amp; OFF RESERVE</t>
  </si>
  <si>
    <t>BM_sign_ON</t>
  </si>
  <si>
    <t>BM_sign_OFF</t>
  </si>
  <si>
    <t>orig_income_LH</t>
  </si>
  <si>
    <t>orig_income_L</t>
  </si>
  <si>
    <t>Benchmark Tribal Council</t>
  </si>
  <si>
    <t>Crude stillborn Rates (ages 0), per 1,000 liveborn and stillborn (hospital) births by FN in Health Region vs (MB FN, AOMB in Health Region), 2012/13-2016/17</t>
  </si>
  <si>
    <t xml:space="preserve">date:   December 6, 2018 </t>
  </si>
  <si>
    <t>FN_ON_stillborn</t>
  </si>
  <si>
    <t>FN_OFF_stillborn</t>
  </si>
  <si>
    <t>FN_stillborn</t>
  </si>
  <si>
    <t>AOMB_stillborn</t>
  </si>
  <si>
    <t>I</t>
  </si>
  <si>
    <t>Crude stillborn Rates (ages 0), per 1,000 liveborn and stillborn (hospital) births by Tribal Council for FN On/Off Reserve vs MB FN On/Off Reserve, 2012/13-2016/17</t>
  </si>
  <si>
    <t>tribal_stillborn</t>
  </si>
  <si>
    <t>Crude stillborn Rates (ages 0), per 1,000 liveborn and stillborn (hospital) births by FN Urban Off reserve and Rural On/Off reserve vs (Lowest and Highest Urban/Rural Income Quintile for MB AOMB), 2012/13-2016/17</t>
  </si>
  <si>
    <t>stillborn</t>
  </si>
  <si>
    <t xml:space="preserve">Stillbirth Counts and Crude Rates </t>
  </si>
  <si>
    <t>Crude rate per 1,000 total births, 2012/13-2016/17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</si>
</sst>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#,##0_ ;\-#,##0\ 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indexed="65"/>
        <bgColor theme="0"/>
      </patternFill>
    </fill>
    <fill>
      <patternFill patternType="solid">
        <fgColor theme="3"/>
        <bgColor theme="3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theme="0"/>
      </patternFill>
    </fill>
    <fill>
      <patternFill patternType="solid">
        <fgColor theme="2"/>
        <bgColor theme="0"/>
      </patternFill>
    </fill>
    <fill>
      <patternFill patternType="darkUp"/>
    </fill>
    <fill>
      <patternFill patternType="solid">
        <fgColor theme="0"/>
        <bgColor theme="0"/>
      </patternFill>
    </fill>
    <fill>
      <patternFill patternType="lightUp">
        <fgColor theme="1"/>
        <bgColor auto="1"/>
      </patternFill>
    </fill>
    <fill>
      <patternFill patternType="lightUp">
        <fgColor theme="1"/>
      </patternFill>
    </fill>
  </fills>
  <borders count="5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7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 style="hair">
        <color theme="7"/>
      </left>
      <right style="thin">
        <color theme="7"/>
      </right>
      <top/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7"/>
      </bottom>
      <diagonal/>
    </border>
    <border>
      <left style="thin">
        <color theme="7"/>
      </left>
      <right/>
      <top style="thin">
        <color theme="7"/>
      </top>
      <bottom/>
      <diagonal/>
    </border>
    <border>
      <left style="thin">
        <color theme="7"/>
      </left>
      <right/>
      <top style="thin">
        <color theme="0"/>
      </top>
      <bottom/>
      <diagonal/>
    </border>
    <border>
      <left style="hair">
        <color theme="7"/>
      </left>
      <right/>
      <top style="thin">
        <color theme="0"/>
      </top>
      <bottom/>
      <diagonal/>
    </border>
    <border>
      <left style="hair">
        <color theme="7"/>
      </left>
      <right style="thin">
        <color theme="7"/>
      </right>
      <top style="thin">
        <color theme="0"/>
      </top>
      <bottom/>
      <diagonal/>
    </border>
    <border>
      <left style="hair">
        <color theme="7"/>
      </left>
      <right/>
      <top/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hair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64">
    <xf numFmtId="0" fontId="0" fillId="0" borderId="0"/>
    <xf numFmtId="0" fontId="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2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8" fillId="0" borderId="0" applyNumberFormat="0" applyFill="0" applyBorder="0" applyAlignment="0" applyProtection="0"/>
    <xf numFmtId="0" fontId="3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ont="0" applyFill="0" applyBorder="0" applyAlignment="0">
      <alignment horizontal="center"/>
    </xf>
    <xf numFmtId="0" fontId="8" fillId="0" borderId="0"/>
    <xf numFmtId="49" fontId="3" fillId="32" borderId="10" applyFill="0">
      <alignment horizontal="center" vertical="center"/>
    </xf>
    <xf numFmtId="3" fontId="3" fillId="32" borderId="10" applyFill="0">
      <alignment horizontal="right" vertical="center" indent="1"/>
    </xf>
    <xf numFmtId="164" fontId="3" fillId="32" borderId="10" applyFill="0">
      <alignment horizontal="right" vertical="center" indent="1"/>
    </xf>
    <xf numFmtId="2" fontId="3" fillId="32" borderId="10" applyFill="0">
      <alignment horizontal="right" vertical="center" indent="1"/>
    </xf>
    <xf numFmtId="42" fontId="14" fillId="32" borderId="10" applyFill="0">
      <alignment horizontal="right" vertical="center" indent="1"/>
    </xf>
    <xf numFmtId="165" fontId="3" fillId="32" borderId="10" applyFill="0">
      <alignment horizontal="right" vertical="center" indent="1"/>
    </xf>
    <xf numFmtId="44" fontId="3" fillId="32" borderId="10" applyFill="0">
      <alignment horizontal="right" vertical="center" indent="1"/>
    </xf>
    <xf numFmtId="9" fontId="3" fillId="32" borderId="10" applyFill="0">
      <alignment horizontal="right" vertical="center" indent="1"/>
    </xf>
    <xf numFmtId="166" fontId="3" fillId="32" borderId="10" applyFill="0">
      <alignment horizontal="right" vertical="center" indent="1"/>
    </xf>
    <xf numFmtId="10" fontId="3" fillId="32" borderId="10" applyFill="0">
      <alignment horizontal="right" vertical="center" indent="1"/>
    </xf>
    <xf numFmtId="0" fontId="16" fillId="32" borderId="0">
      <alignment horizontal="left" vertical="top"/>
    </xf>
    <xf numFmtId="0" fontId="18" fillId="32" borderId="10" applyFill="0">
      <alignment horizontal="center" vertical="center"/>
    </xf>
    <xf numFmtId="0" fontId="5" fillId="32" borderId="0">
      <alignment horizontal="center" vertical="center" wrapText="1"/>
    </xf>
    <xf numFmtId="0" fontId="4" fillId="33" borderId="12">
      <alignment horizontal="center" vertical="center" wrapText="1"/>
    </xf>
    <xf numFmtId="0" fontId="5" fillId="32" borderId="13" applyFill="0">
      <alignment horizontal="left" vertical="center" indent="1"/>
    </xf>
    <xf numFmtId="49" fontId="5" fillId="34" borderId="0">
      <alignment horizontal="left" vertical="center" indent="1"/>
    </xf>
    <xf numFmtId="49" fontId="26" fillId="32" borderId="0"/>
    <xf numFmtId="49" fontId="5" fillId="32" borderId="0">
      <alignment vertical="center"/>
    </xf>
    <xf numFmtId="43" fontId="1" fillId="0" borderId="0" applyFont="0" applyFill="0" applyBorder="0" applyAlignment="0" applyProtection="0"/>
  </cellStyleXfs>
  <cellXfs count="108">
    <xf numFmtId="0" fontId="0" fillId="0" borderId="0" xfId="0"/>
    <xf numFmtId="11" fontId="0" fillId="0" borderId="0" xfId="0" applyNumberFormat="1"/>
    <xf numFmtId="0" fontId="0" fillId="0" borderId="0" xfId="0"/>
    <xf numFmtId="0" fontId="9" fillId="0" borderId="0" xfId="43" applyFont="1" applyBorder="1" applyAlignment="1">
      <alignment vertical="top"/>
    </xf>
    <xf numFmtId="0" fontId="9" fillId="0" borderId="0" xfId="43" applyFont="1" applyBorder="1" applyAlignment="1">
      <alignment vertical="top" wrapText="1"/>
    </xf>
    <xf numFmtId="0" fontId="2" fillId="0" borderId="0" xfId="44" applyFont="1"/>
    <xf numFmtId="0" fontId="2" fillId="0" borderId="0" xfId="43" applyFont="1" applyBorder="1" applyAlignment="1">
      <alignment vertical="top"/>
    </xf>
    <xf numFmtId="0" fontId="2" fillId="0" borderId="0" xfId="44" applyFont="1" applyAlignment="1">
      <alignment vertical="center"/>
    </xf>
    <xf numFmtId="0" fontId="2" fillId="0" borderId="0" xfId="44" applyFont="1" applyAlignment="1">
      <alignment horizontal="center" vertical="center"/>
    </xf>
    <xf numFmtId="1" fontId="2" fillId="0" borderId="0" xfId="44" applyNumberFormat="1" applyFont="1"/>
    <xf numFmtId="0" fontId="2" fillId="0" borderId="0" xfId="44" applyFont="1" applyBorder="1" applyAlignment="1">
      <alignment vertical="center"/>
    </xf>
    <xf numFmtId="0" fontId="2" fillId="0" borderId="0" xfId="44" applyFont="1" applyBorder="1"/>
    <xf numFmtId="0" fontId="4" fillId="33" borderId="15" xfId="58" applyBorder="1">
      <alignment horizontal="center" vertical="center" wrapText="1"/>
    </xf>
    <xf numFmtId="0" fontId="2" fillId="0" borderId="14" xfId="43" applyFont="1" applyBorder="1" applyAlignment="1">
      <alignment vertical="top"/>
    </xf>
    <xf numFmtId="0" fontId="9" fillId="0" borderId="14" xfId="43" applyFont="1" applyBorder="1" applyAlignment="1">
      <alignment vertical="top" wrapText="1"/>
    </xf>
    <xf numFmtId="0" fontId="0" fillId="0" borderId="19" xfId="0" applyBorder="1"/>
    <xf numFmtId="0" fontId="0" fillId="0" borderId="0" xfId="0" applyFill="1"/>
    <xf numFmtId="0" fontId="4" fillId="33" borderId="20" xfId="58" applyBorder="1">
      <alignment horizontal="center" vertical="center" wrapText="1"/>
    </xf>
    <xf numFmtId="0" fontId="2" fillId="0" borderId="16" xfId="44" applyFont="1" applyBorder="1"/>
    <xf numFmtId="0" fontId="2" fillId="0" borderId="16" xfId="44" applyFont="1" applyBorder="1" applyAlignment="1">
      <alignment horizontal="center" vertical="center"/>
    </xf>
    <xf numFmtId="0" fontId="2" fillId="0" borderId="0" xfId="44" quotePrefix="1" applyFont="1"/>
    <xf numFmtId="0" fontId="0" fillId="0" borderId="26" xfId="0" applyBorder="1"/>
    <xf numFmtId="0" fontId="0" fillId="0" borderId="29" xfId="0" applyBorder="1"/>
    <xf numFmtId="0" fontId="0" fillId="0" borderId="0" xfId="0" applyBorder="1"/>
    <xf numFmtId="0" fontId="0" fillId="0" borderId="30" xfId="0" applyBorder="1"/>
    <xf numFmtId="0" fontId="0" fillId="0" borderId="33" xfId="0" applyBorder="1" applyAlignment="1">
      <alignment wrapText="1"/>
    </xf>
    <xf numFmtId="0" fontId="0" fillId="35" borderId="0" xfId="0" applyFill="1"/>
    <xf numFmtId="0" fontId="0" fillId="0" borderId="33" xfId="0" applyBorder="1" applyAlignment="1">
      <alignment vertical="top" wrapText="1"/>
    </xf>
    <xf numFmtId="0" fontId="0" fillId="0" borderId="0" xfId="0" applyAlignment="1">
      <alignment horizontal="left"/>
    </xf>
    <xf numFmtId="0" fontId="5" fillId="0" borderId="0" xfId="0" applyFont="1" applyAlignment="1"/>
    <xf numFmtId="0" fontId="2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0" fillId="0" borderId="3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wrapText="1"/>
    </xf>
    <xf numFmtId="0" fontId="2" fillId="0" borderId="36" xfId="44" applyFont="1" applyBorder="1" applyAlignment="1">
      <alignment vertical="center"/>
    </xf>
    <xf numFmtId="0" fontId="4" fillId="33" borderId="15" xfId="58" applyBorder="1">
      <alignment horizontal="center" vertical="center" wrapText="1"/>
    </xf>
    <xf numFmtId="0" fontId="0" fillId="0" borderId="32" xfId="0" applyFill="1" applyBorder="1" applyAlignment="1">
      <alignment horizontal="left"/>
    </xf>
    <xf numFmtId="0" fontId="27" fillId="0" borderId="27" xfId="0" applyFont="1" applyBorder="1"/>
    <xf numFmtId="0" fontId="27" fillId="0" borderId="28" xfId="0" applyFont="1" applyBorder="1"/>
    <xf numFmtId="0" fontId="0" fillId="0" borderId="29" xfId="0" applyFill="1" applyBorder="1"/>
    <xf numFmtId="3" fontId="3" fillId="36" borderId="25" xfId="63" applyNumberFormat="1" applyFont="1" applyFill="1" applyBorder="1" applyAlignment="1">
      <alignment horizontal="right" vertical="center" indent="3"/>
    </xf>
    <xf numFmtId="3" fontId="2" fillId="37" borderId="24" xfId="44" applyNumberFormat="1" applyFont="1" applyFill="1" applyBorder="1" applyAlignment="1">
      <alignment horizontal="right" vertical="center" indent="3"/>
    </xf>
    <xf numFmtId="4" fontId="2" fillId="37" borderId="16" xfId="44" applyNumberFormat="1" applyFont="1" applyFill="1" applyBorder="1" applyAlignment="1">
      <alignment horizontal="right" vertical="center" indent="3"/>
    </xf>
    <xf numFmtId="3" fontId="2" fillId="38" borderId="24" xfId="44" applyNumberFormat="1" applyFont="1" applyFill="1" applyBorder="1" applyAlignment="1">
      <alignment horizontal="right" vertical="center" indent="3"/>
    </xf>
    <xf numFmtId="4" fontId="2" fillId="38" borderId="16" xfId="44" applyNumberFormat="1" applyFont="1" applyFill="1" applyBorder="1" applyAlignment="1">
      <alignment horizontal="right" vertical="center" indent="3"/>
    </xf>
    <xf numFmtId="4" fontId="2" fillId="37" borderId="37" xfId="44" applyNumberFormat="1" applyFont="1" applyFill="1" applyBorder="1" applyAlignment="1">
      <alignment horizontal="right" vertical="center" indent="3"/>
    </xf>
    <xf numFmtId="2" fontId="3" fillId="36" borderId="18" xfId="60" applyNumberFormat="1" applyFont="1" applyFill="1" applyBorder="1" applyAlignment="1">
      <alignment horizontal="right" vertical="center" indent="3"/>
    </xf>
    <xf numFmtId="2" fontId="3" fillId="0" borderId="0" xfId="60" quotePrefix="1" applyNumberFormat="1" applyFont="1" applyFill="1" applyBorder="1" applyAlignment="1">
      <alignment horizontal="right" vertical="center" indent="3"/>
    </xf>
    <xf numFmtId="3" fontId="3" fillId="0" borderId="0" xfId="63" applyNumberFormat="1" applyFont="1" applyFill="1" applyBorder="1" applyAlignment="1">
      <alignment horizontal="right" vertical="center" indent="3"/>
    </xf>
    <xf numFmtId="2" fontId="3" fillId="0" borderId="0" xfId="60" applyNumberFormat="1" applyFont="1" applyFill="1" applyBorder="1" applyAlignment="1">
      <alignment horizontal="right" vertical="center" indent="3"/>
    </xf>
    <xf numFmtId="49" fontId="5" fillId="34" borderId="35" xfId="60" applyNumberFormat="1" applyFont="1" applyFill="1" applyBorder="1" applyAlignment="1">
      <alignment horizontal="left" vertical="center" indent="1"/>
    </xf>
    <xf numFmtId="49" fontId="5" fillId="0" borderId="38" xfId="60" applyFont="1" applyFill="1" applyBorder="1" applyAlignment="1">
      <alignment horizontal="left" vertical="center" indent="2"/>
    </xf>
    <xf numFmtId="0" fontId="5" fillId="39" borderId="0" xfId="0" applyFont="1" applyFill="1" applyAlignment="1">
      <alignment horizontal="left"/>
    </xf>
    <xf numFmtId="0" fontId="27" fillId="39" borderId="0" xfId="0" applyFont="1" applyFill="1" applyAlignment="1">
      <alignment horizontal="left"/>
    </xf>
    <xf numFmtId="0" fontId="0" fillId="39" borderId="0" xfId="0" applyFill="1" applyAlignment="1">
      <alignment horizontal="left"/>
    </xf>
    <xf numFmtId="0" fontId="4" fillId="33" borderId="40" xfId="58" applyBorder="1">
      <alignment horizontal="center" vertical="center" wrapText="1"/>
    </xf>
    <xf numFmtId="0" fontId="4" fillId="33" borderId="41" xfId="58" applyBorder="1">
      <alignment horizontal="center" vertical="center" wrapText="1"/>
    </xf>
    <xf numFmtId="0" fontId="0" fillId="39" borderId="0" xfId="0" applyFill="1"/>
    <xf numFmtId="0" fontId="4" fillId="33" borderId="43" xfId="58" applyBorder="1">
      <alignment horizontal="center" vertical="center" wrapText="1"/>
    </xf>
    <xf numFmtId="3" fontId="2" fillId="40" borderId="24" xfId="44" applyNumberFormat="1" applyFont="1" applyFill="1" applyBorder="1" applyAlignment="1">
      <alignment horizontal="right" vertical="center" indent="3"/>
    </xf>
    <xf numFmtId="4" fontId="2" fillId="40" borderId="16" xfId="44" applyNumberFormat="1" applyFont="1" applyFill="1" applyBorder="1" applyAlignment="1">
      <alignment horizontal="right" vertical="center" indent="3"/>
    </xf>
    <xf numFmtId="3" fontId="3" fillId="0" borderId="38" xfId="63" quotePrefix="1" applyNumberFormat="1" applyFont="1" applyFill="1" applyBorder="1" applyAlignment="1">
      <alignment horizontal="right" vertical="center" indent="3"/>
    </xf>
    <xf numFmtId="3" fontId="9" fillId="41" borderId="45" xfId="44" applyNumberFormat="1" applyFont="1" applyFill="1" applyBorder="1" applyAlignment="1">
      <alignment horizontal="right" vertical="center" indent="3"/>
    </xf>
    <xf numFmtId="0" fontId="2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left" wrapText="1"/>
    </xf>
    <xf numFmtId="0" fontId="27" fillId="0" borderId="0" xfId="0" applyFont="1" applyBorder="1"/>
    <xf numFmtId="0" fontId="27" fillId="0" borderId="30" xfId="0" applyFont="1" applyBorder="1"/>
    <xf numFmtId="3" fontId="2" fillId="43" borderId="24" xfId="44" applyNumberFormat="1" applyFont="1" applyFill="1" applyBorder="1" applyAlignment="1">
      <alignment horizontal="right" vertical="center" indent="3"/>
    </xf>
    <xf numFmtId="4" fontId="2" fillId="43" borderId="16" xfId="44" applyNumberFormat="1" applyFont="1" applyFill="1" applyBorder="1" applyAlignment="1">
      <alignment horizontal="right" vertical="center" indent="3"/>
    </xf>
    <xf numFmtId="0" fontId="9" fillId="40" borderId="10" xfId="44" applyNumberFormat="1" applyFont="1" applyFill="1" applyBorder="1" applyAlignment="1">
      <alignment horizontal="left" vertical="center" indent="2"/>
    </xf>
    <xf numFmtId="0" fontId="9" fillId="43" borderId="10" xfId="44" applyNumberFormat="1" applyFont="1" applyFill="1" applyBorder="1" applyAlignment="1">
      <alignment horizontal="left" vertical="center" indent="2"/>
    </xf>
    <xf numFmtId="0" fontId="9" fillId="37" borderId="46" xfId="44" applyNumberFormat="1" applyFont="1" applyFill="1" applyBorder="1" applyAlignment="1">
      <alignment horizontal="left" vertical="center" indent="2"/>
    </xf>
    <xf numFmtId="3" fontId="2" fillId="37" borderId="46" xfId="44" applyNumberFormat="1" applyFont="1" applyFill="1" applyBorder="1" applyAlignment="1">
      <alignment horizontal="right" vertical="center" indent="3"/>
    </xf>
    <xf numFmtId="4" fontId="2" fillId="37" borderId="47" xfId="44" applyNumberFormat="1" applyFont="1" applyFill="1" applyBorder="1" applyAlignment="1">
      <alignment horizontal="right" vertical="center" indent="3"/>
    </xf>
    <xf numFmtId="4" fontId="2" fillId="37" borderId="48" xfId="44" applyNumberFormat="1" applyFont="1" applyFill="1" applyBorder="1" applyAlignment="1">
      <alignment horizontal="right" vertical="center" indent="3"/>
    </xf>
    <xf numFmtId="0" fontId="9" fillId="38" borderId="36" xfId="44" applyNumberFormat="1" applyFont="1" applyFill="1" applyBorder="1" applyAlignment="1">
      <alignment horizontal="left" vertical="center" indent="2"/>
    </xf>
    <xf numFmtId="3" fontId="2" fillId="38" borderId="36" xfId="44" applyNumberFormat="1" applyFont="1" applyFill="1" applyBorder="1" applyAlignment="1">
      <alignment horizontal="right" vertical="center" indent="3"/>
    </xf>
    <xf numFmtId="4" fontId="2" fillId="38" borderId="49" xfId="44" applyNumberFormat="1" applyFont="1" applyFill="1" applyBorder="1" applyAlignment="1">
      <alignment horizontal="right" vertical="center" indent="3"/>
    </xf>
    <xf numFmtId="4" fontId="2" fillId="38" borderId="37" xfId="44" applyNumberFormat="1" applyFont="1" applyFill="1" applyBorder="1" applyAlignment="1">
      <alignment horizontal="right" vertical="center" indent="3"/>
    </xf>
    <xf numFmtId="0" fontId="9" fillId="37" borderId="36" xfId="44" applyNumberFormat="1" applyFont="1" applyFill="1" applyBorder="1" applyAlignment="1">
      <alignment horizontal="left" vertical="center" indent="2"/>
    </xf>
    <xf numFmtId="3" fontId="2" fillId="37" borderId="36" xfId="44" applyNumberFormat="1" applyFont="1" applyFill="1" applyBorder="1" applyAlignment="1">
      <alignment horizontal="right" vertical="center" indent="3"/>
    </xf>
    <xf numFmtId="4" fontId="2" fillId="37" borderId="49" xfId="44" applyNumberFormat="1" applyFont="1" applyFill="1" applyBorder="1" applyAlignment="1">
      <alignment horizontal="right" vertical="center" indent="3"/>
    </xf>
    <xf numFmtId="49" fontId="5" fillId="34" borderId="50" xfId="60" applyNumberFormat="1" applyFont="1" applyFill="1" applyBorder="1" applyAlignment="1">
      <alignment horizontal="left" vertical="center" indent="1"/>
    </xf>
    <xf numFmtId="3" fontId="5" fillId="34" borderId="45" xfId="60" applyNumberFormat="1" applyFont="1" applyFill="1" applyBorder="1" applyAlignment="1">
      <alignment horizontal="right" vertical="center" indent="3"/>
    </xf>
    <xf numFmtId="4" fontId="5" fillId="34" borderId="34" xfId="60" applyNumberFormat="1" applyFont="1" applyFill="1" applyBorder="1" applyAlignment="1">
      <alignment horizontal="right" vertical="center" indent="3"/>
    </xf>
    <xf numFmtId="3" fontId="5" fillId="34" borderId="50" xfId="60" applyNumberFormat="1" applyFont="1" applyFill="1" applyBorder="1" applyAlignment="1">
      <alignment horizontal="right" vertical="center" indent="3"/>
    </xf>
    <xf numFmtId="0" fontId="0" fillId="44" borderId="32" xfId="0" applyFill="1" applyBorder="1" applyAlignment="1">
      <alignment horizontal="left"/>
    </xf>
    <xf numFmtId="0" fontId="0" fillId="45" borderId="0" xfId="0" applyFill="1" applyAlignment="1">
      <alignment horizontal="left"/>
    </xf>
    <xf numFmtId="167" fontId="5" fillId="34" borderId="50" xfId="63" applyNumberFormat="1" applyFont="1" applyFill="1" applyBorder="1" applyAlignment="1">
      <alignment horizontal="left" vertical="center" indent="3"/>
    </xf>
    <xf numFmtId="2" fontId="5" fillId="34" borderId="51" xfId="60" applyNumberFormat="1" applyFont="1" applyFill="1" applyBorder="1" applyAlignment="1">
      <alignment horizontal="right" vertical="center" indent="3"/>
    </xf>
    <xf numFmtId="4" fontId="9" fillId="41" borderId="51" xfId="44" applyNumberFormat="1" applyFont="1" applyFill="1" applyBorder="1" applyAlignment="1">
      <alignment horizontal="right" vertical="center" indent="3"/>
    </xf>
    <xf numFmtId="0" fontId="0" fillId="42" borderId="27" xfId="0" applyFill="1" applyBorder="1" applyAlignment="1"/>
    <xf numFmtId="0" fontId="0" fillId="42" borderId="0" xfId="0" applyFill="1" applyAlignment="1"/>
    <xf numFmtId="0" fontId="0" fillId="42" borderId="32" xfId="0" applyFill="1" applyBorder="1" applyAlignment="1"/>
    <xf numFmtId="0" fontId="4" fillId="33" borderId="21" xfId="58" applyBorder="1">
      <alignment horizontal="center" vertical="center" wrapText="1"/>
    </xf>
    <xf numFmtId="0" fontId="4" fillId="33" borderId="23" xfId="58" applyBorder="1">
      <alignment horizontal="center" vertical="center" wrapText="1"/>
    </xf>
    <xf numFmtId="0" fontId="4" fillId="33" borderId="17" xfId="58" applyBorder="1">
      <alignment horizontal="center" vertical="center" wrapText="1"/>
    </xf>
    <xf numFmtId="0" fontId="4" fillId="33" borderId="22" xfId="58" applyBorder="1">
      <alignment horizontal="center" vertical="center" wrapText="1"/>
    </xf>
    <xf numFmtId="0" fontId="4" fillId="33" borderId="39" xfId="58" applyBorder="1">
      <alignment horizontal="center" vertical="center" wrapText="1"/>
    </xf>
    <xf numFmtId="0" fontId="4" fillId="33" borderId="42" xfId="58" applyBorder="1">
      <alignment horizontal="center" vertical="center" wrapText="1"/>
    </xf>
    <xf numFmtId="0" fontId="4" fillId="33" borderId="44" xfId="58" applyBorder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63" builtinId="3"/>
    <cellStyle name="crude rate tables" xfId="43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3" xfId="44"/>
    <cellStyle name="Note" xfId="15" builtinId="10" customBuiltin="1"/>
    <cellStyle name="Output" xfId="10" builtinId="21" customBuiltin="1"/>
    <cellStyle name="Sub heading Y" xfId="60"/>
    <cellStyle name="Subtitle" xfId="61"/>
    <cellStyle name="Table title" xfId="62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2">
    <dxf>
      <fill>
        <patternFill>
          <fgColor theme="3"/>
          <bgColor theme="3"/>
        </patternFill>
      </fill>
    </dxf>
    <dxf>
      <fill>
        <patternFill>
          <fgColor theme="0"/>
        </patternFill>
      </fill>
    </dxf>
  </dxfs>
  <tableStyles count="3" defaultTableStyle="TableStyleMedium2" defaultPivotStyle="PivotStyleLight16">
    <tableStyle name="Table Style 1" pivot="0" count="2">
      <tableStyleElement type="firstRowStripe" dxfId="1"/>
      <tableStyleElement type="secondRowStripe" dxfId="0"/>
    </tableStyle>
    <tableStyle name="Table Style 2" pivot="0" count="0"/>
    <tableStyle name="Table Style 3" pivot="0" count="0"/>
  </tableStyles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70213481536316"/>
          <c:y val="0.1539624164575088"/>
          <c:w val="0.70552467993451384"/>
          <c:h val="0.61855463212570616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Data_Sheet!$V$2</c:f>
              <c:strCache>
                <c:ptCount val="1"/>
                <c:pt idx="0">
                  <c:v>First Nations On-Reserve Avg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First Nations On-Reserve Avg</c:name>
            <c:spPr>
              <a:ln w="25400">
                <a:solidFill>
                  <a:schemeClr val="accent2"/>
                </a:solidFill>
                <a:prstDash val="dash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Data_Sheet!$B$4:$C$9</c:f>
              <c:multiLvlStrCache>
                <c:ptCount val="6"/>
                <c:lvl>
                  <c:pt idx="0">
                    <c:v>Southern Health-Santé Sud (5)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(5)</c:v>
                  </c:pt>
                  <c:pt idx="4">
                    <c:v>Northern Health Region </c:v>
                  </c:pt>
                  <c:pt idx="5">
                    <c:v>Manitoba (5)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Data_Sheet!$V$4:$V$9</c:f>
              <c:numCache>
                <c:formatCode>General</c:formatCode>
                <c:ptCount val="6"/>
                <c:pt idx="0">
                  <c:v>8.9120268242999998</c:v>
                </c:pt>
                <c:pt idx="1">
                  <c:v>8.9120268242999998</c:v>
                </c:pt>
                <c:pt idx="2">
                  <c:v>8.9120268242999998</c:v>
                </c:pt>
                <c:pt idx="3">
                  <c:v>8.9120268242999998</c:v>
                </c:pt>
                <c:pt idx="4">
                  <c:v>8.9120268242999998</c:v>
                </c:pt>
                <c:pt idx="5">
                  <c:v>8.9120268242999998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471-4865-886A-43BAE3183E02}"/>
            </c:ext>
          </c:extLst>
        </c:ser>
        <c:ser>
          <c:idx val="6"/>
          <c:order val="1"/>
          <c:tx>
            <c:strRef>
              <c:f>Data_Sheet!$W$2</c:f>
              <c:strCache>
                <c:ptCount val="1"/>
                <c:pt idx="0">
                  <c:v>First Nations Off-Reserve Avg</c:v>
                </c:pt>
              </c:strCache>
            </c:strRef>
          </c:tx>
          <c:spPr>
            <a:noFill/>
          </c:spPr>
          <c:invertIfNegative val="0"/>
          <c:trendline>
            <c:name>First Nations Off-Reserve Avg</c:name>
            <c:spPr>
              <a:ln w="25400">
                <a:solidFill>
                  <a:schemeClr val="accent3"/>
                </a:solidFill>
                <a:prstDash val="dash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Data_Sheet!$B$4:$C$9</c:f>
              <c:multiLvlStrCache>
                <c:ptCount val="6"/>
                <c:lvl>
                  <c:pt idx="0">
                    <c:v>Southern Health-Santé Sud (5)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(5)</c:v>
                  </c:pt>
                  <c:pt idx="4">
                    <c:v>Northern Health Region </c:v>
                  </c:pt>
                  <c:pt idx="5">
                    <c:v>Manitoba (5)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Data_Sheet!$W$4:$W$9</c:f>
              <c:numCache>
                <c:formatCode>General</c:formatCode>
                <c:ptCount val="6"/>
                <c:pt idx="0">
                  <c:v>6.7282115474999999</c:v>
                </c:pt>
                <c:pt idx="1">
                  <c:v>6.7282115474999999</c:v>
                </c:pt>
                <c:pt idx="2">
                  <c:v>6.7282115474999999</c:v>
                </c:pt>
                <c:pt idx="3">
                  <c:v>6.7282115474999999</c:v>
                </c:pt>
                <c:pt idx="4">
                  <c:v>6.7282115474999999</c:v>
                </c:pt>
                <c:pt idx="5">
                  <c:v>6.7282115474999999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471-4865-886A-43BAE3183E02}"/>
            </c:ext>
          </c:extLst>
        </c:ser>
        <c:ser>
          <c:idx val="2"/>
          <c:order val="2"/>
          <c:tx>
            <c:strRef>
              <c:f>Data_Sheet!$R$2</c:f>
              <c:strCache>
                <c:ptCount val="1"/>
                <c:pt idx="0">
                  <c:v>First Nations On-Reserve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val>
            <c:numRef>
              <c:f>Data_Sheet!$R$4:$R$9</c:f>
              <c:numCache>
                <c:formatCode>General</c:formatCode>
                <c:ptCount val="6"/>
                <c:pt idx="0">
                  <c:v>15.570934255999999</c:v>
                </c:pt>
                <c:pt idx="1">
                  <c:v>0</c:v>
                </c:pt>
                <c:pt idx="2">
                  <c:v>9.9367660342999997</c:v>
                </c:pt>
                <c:pt idx="3">
                  <c:v>9.5764272560000006</c:v>
                </c:pt>
                <c:pt idx="4">
                  <c:v>7.2383949646000003</c:v>
                </c:pt>
                <c:pt idx="5">
                  <c:v>8.9120268242999998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6-4BD4-BE4C-A91FB54469BA}"/>
            </c:ext>
          </c:extLst>
        </c:ser>
        <c:ser>
          <c:idx val="7"/>
          <c:order val="3"/>
          <c:tx>
            <c:strRef>
              <c:f>Data_Sheet!$S$2</c:f>
              <c:strCache>
                <c:ptCount val="1"/>
                <c:pt idx="0">
                  <c:v>First Nations Off-Reserve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invertIfNegative val="0"/>
          <c:val>
            <c:numRef>
              <c:f>Data_Sheet!$S$4:$S$9</c:f>
              <c:numCache>
                <c:formatCode>General</c:formatCode>
                <c:ptCount val="6"/>
                <c:pt idx="0">
                  <c:v>0</c:v>
                </c:pt>
                <c:pt idx="1">
                  <c:v>5.8619770850000004</c:v>
                </c:pt>
                <c:pt idx="2">
                  <c:v>11.780104712</c:v>
                </c:pt>
                <c:pt idx="3">
                  <c:v>0</c:v>
                </c:pt>
                <c:pt idx="4">
                  <c:v>6.4575645756000002</c:v>
                </c:pt>
                <c:pt idx="5">
                  <c:v>6.7282115474999999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36-4BD4-BE4C-A91FB54469BA}"/>
            </c:ext>
          </c:extLst>
        </c:ser>
        <c:ser>
          <c:idx val="0"/>
          <c:order val="4"/>
          <c:tx>
            <c:strRef>
              <c:f>Data_Sheet!$T$2</c:f>
              <c:strCache>
                <c:ptCount val="1"/>
                <c:pt idx="0">
                  <c:v>All First Nations</c:v>
                </c:pt>
              </c:strCache>
            </c:strRef>
          </c:tx>
          <c:spPr>
            <a:pattFill prst="dkUpDiag">
              <a:fgClr>
                <a:schemeClr val="accent1"/>
              </a:fgClr>
              <a:bgClr>
                <a:schemeClr val="bg1"/>
              </a:bgClr>
            </a:pattFill>
            <a:ln>
              <a:solidFill>
                <a:schemeClr val="accent1"/>
              </a:solidFill>
            </a:ln>
          </c:spPr>
          <c:invertIfNegative val="0"/>
          <c:cat>
            <c:multiLvlStrRef>
              <c:f>Data_Sheet!$B$4:$C$9</c:f>
              <c:multiLvlStrCache>
                <c:ptCount val="6"/>
                <c:lvl>
                  <c:pt idx="0">
                    <c:v>Southern Health-Santé Sud (5)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(5)</c:v>
                  </c:pt>
                  <c:pt idx="4">
                    <c:v>Northern Health Region </c:v>
                  </c:pt>
                  <c:pt idx="5">
                    <c:v>Manitoba (5)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Data_Sheet!$T$4:$T$9</c:f>
              <c:numCache>
                <c:formatCode>General</c:formatCode>
                <c:ptCount val="6"/>
                <c:pt idx="0">
                  <c:v>12.171684816999999</c:v>
                </c:pt>
                <c:pt idx="1">
                  <c:v>5.8619770850000004</c:v>
                </c:pt>
                <c:pt idx="2">
                  <c:v>10.689470870999999</c:v>
                </c:pt>
                <c:pt idx="3">
                  <c:v>9.4064223159000004</c:v>
                </c:pt>
                <c:pt idx="4">
                  <c:v>7.1246135232999999</c:v>
                </c:pt>
                <c:pt idx="5">
                  <c:v>8.124576845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71-4865-886A-43BAE3183E02}"/>
            </c:ext>
          </c:extLst>
        </c:ser>
        <c:ser>
          <c:idx val="1"/>
          <c:order val="5"/>
          <c:tx>
            <c:strRef>
              <c:f>Data_Sheet!$U$2</c:f>
              <c:strCache>
                <c:ptCount val="1"/>
                <c:pt idx="0">
                  <c:v>All Other Manitobans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multiLvlStrRef>
              <c:f>Data_Sheet!$B$4:$C$9</c:f>
              <c:multiLvlStrCache>
                <c:ptCount val="6"/>
                <c:lvl>
                  <c:pt idx="0">
                    <c:v>Southern Health-Santé Sud (5)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(5)</c:v>
                  </c:pt>
                  <c:pt idx="4">
                    <c:v>Northern Health Region </c:v>
                  </c:pt>
                  <c:pt idx="5">
                    <c:v>Manitoba (5)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Data_Sheet!$U$4:$U$9</c:f>
              <c:numCache>
                <c:formatCode>General</c:formatCode>
                <c:ptCount val="6"/>
                <c:pt idx="0">
                  <c:v>6.1064040912999999</c:v>
                </c:pt>
                <c:pt idx="1">
                  <c:v>5.9583777092999997</c:v>
                </c:pt>
                <c:pt idx="2">
                  <c:v>7.8134537906999997</c:v>
                </c:pt>
                <c:pt idx="3">
                  <c:v>3.5624476111000001</c:v>
                </c:pt>
                <c:pt idx="4">
                  <c:v>10.121457489999999</c:v>
                </c:pt>
                <c:pt idx="5">
                  <c:v>6.1436293932000003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71-4865-886A-43BAE3183E02}"/>
            </c:ext>
          </c:extLst>
        </c:ser>
        <c:ser>
          <c:idx val="3"/>
          <c:order val="6"/>
          <c:tx>
            <c:strRef>
              <c:f>Data_Sheet!$X$2</c:f>
              <c:strCache>
                <c:ptCount val="1"/>
                <c:pt idx="0">
                  <c:v>All First Nations Avg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All First Nations Avg</c:nam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Data_Sheet!$B$4:$C$9</c:f>
              <c:multiLvlStrCache>
                <c:ptCount val="6"/>
                <c:lvl>
                  <c:pt idx="0">
                    <c:v>Southern Health-Santé Sud (5)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(5)</c:v>
                  </c:pt>
                  <c:pt idx="4">
                    <c:v>Northern Health Region </c:v>
                  </c:pt>
                  <c:pt idx="5">
                    <c:v>Manitoba (5)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Data_Sheet!$X$4:$X$9</c:f>
              <c:numCache>
                <c:formatCode>General</c:formatCode>
                <c:ptCount val="6"/>
                <c:pt idx="0">
                  <c:v>8.124576845</c:v>
                </c:pt>
                <c:pt idx="1">
                  <c:v>8.124576845</c:v>
                </c:pt>
                <c:pt idx="2">
                  <c:v>8.124576845</c:v>
                </c:pt>
                <c:pt idx="3">
                  <c:v>8.124576845</c:v>
                </c:pt>
                <c:pt idx="4">
                  <c:v>8.124576845</c:v>
                </c:pt>
                <c:pt idx="5">
                  <c:v>8.124576845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1-4865-886A-43BAE3183E02}"/>
            </c:ext>
          </c:extLst>
        </c:ser>
        <c:ser>
          <c:idx val="4"/>
          <c:order val="7"/>
          <c:tx>
            <c:strRef>
              <c:f>Data_Sheet!$Y$2</c:f>
              <c:strCache>
                <c:ptCount val="1"/>
                <c:pt idx="0">
                  <c:v>All Other Manitobans Avg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All Other Manitobans Avg</c:name>
            <c:spPr>
              <a:ln w="25400">
                <a:solidFill>
                  <a:schemeClr val="accent5"/>
                </a:solidFill>
                <a:prstDash val="sysDot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Data_Sheet!$B$4:$C$9</c:f>
              <c:multiLvlStrCache>
                <c:ptCount val="6"/>
                <c:lvl>
                  <c:pt idx="0">
                    <c:v>Southern Health-Santé Sud (5)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(5)</c:v>
                  </c:pt>
                  <c:pt idx="4">
                    <c:v>Northern Health Region </c:v>
                  </c:pt>
                  <c:pt idx="5">
                    <c:v>Manitoba (5)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Data_Sheet!$Y$4:$Y$9</c:f>
              <c:numCache>
                <c:formatCode>General</c:formatCode>
                <c:ptCount val="6"/>
                <c:pt idx="0">
                  <c:v>6.1436293932000003</c:v>
                </c:pt>
                <c:pt idx="1">
                  <c:v>6.1436293932000003</c:v>
                </c:pt>
                <c:pt idx="2">
                  <c:v>6.1436293932000003</c:v>
                </c:pt>
                <c:pt idx="3">
                  <c:v>6.1436293932000003</c:v>
                </c:pt>
                <c:pt idx="4">
                  <c:v>6.1436293932000003</c:v>
                </c:pt>
                <c:pt idx="5">
                  <c:v>6.1436293932000003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71-4865-886A-43BAE318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 b="0"/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2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88258048"/>
        <c:crosses val="max"/>
        <c:crossBetween val="between"/>
      </c:valAx>
      <c:spPr>
        <a:ln>
          <a:solidFill>
            <a:schemeClr val="tx1"/>
          </a:solidFill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1.8544150226495936E-4"/>
          <c:y val="8.4543394217694925E-2"/>
          <c:w val="0.99400221449665138"/>
          <c:h val="6.070011711044948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71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>
          <a:solidFill>
            <a:schemeClr val="tx1"/>
          </a:solidFill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482969427820119"/>
          <c:y val="0.10883564554430696"/>
          <c:w val="0.73002818702496308"/>
          <c:h val="0.61574814388925825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Data_Sheet!$O$36</c:f>
              <c:strCache>
                <c:ptCount val="1"/>
                <c:pt idx="0">
                  <c:v>Dummy variable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MB: First Nations On-Reserve</c:name>
            <c:spPr>
              <a:ln w="25400">
                <a:solidFill>
                  <a:schemeClr val="accent2"/>
                </a:solidFill>
                <a:prstDash val="dash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Data_Sheet!$B$38:$C$44</c:f>
              <c:multiLvlStrCache>
                <c:ptCount val="7"/>
                <c:lvl>
                  <c:pt idx="0">
                    <c:v>Urban Off-Reserve </c:v>
                  </c:pt>
                  <c:pt idx="1">
                    <c:v>Rural On-Reserve </c:v>
                  </c:pt>
                  <c:pt idx="2">
                    <c:v>Rural Off-Reserve </c:v>
                  </c:pt>
                  <c:pt idx="3">
                    <c:v>Lowest Urban </c:v>
                  </c:pt>
                  <c:pt idx="4">
                    <c:v>Highest Urban </c:v>
                  </c:pt>
                  <c:pt idx="5">
                    <c:v>Lowest Rural </c:v>
                  </c:pt>
                  <c:pt idx="6">
                    <c:v>Highest Rural </c:v>
                  </c:pt>
                </c:lvl>
                <c:lvl>
                  <c:pt idx="0">
                    <c:v>First Nations</c:v>
                  </c:pt>
                  <c:pt idx="3">
                    <c:v>All Other Manitobans</c:v>
                  </c:pt>
                </c:lvl>
              </c:multiLvlStrCache>
            </c:multiLvlStrRef>
          </c:cat>
          <c:val>
            <c:numRef>
              <c:f>Data_Sheet!$O$38:$O$44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4946-454C-86E9-B2B868D14E63}"/>
            </c:ext>
          </c:extLst>
        </c:ser>
        <c:ser>
          <c:idx val="0"/>
          <c:order val="1"/>
          <c:tx>
            <c:strRef>
              <c:f>Data_Sheet!$N$36</c:f>
              <c:strCache>
                <c:ptCount val="1"/>
                <c:pt idx="0">
                  <c:v>Rate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pattFill prst="dkUpDiag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946-454C-86E9-B2B868D14E63}"/>
              </c:ext>
            </c:extLst>
          </c:dPt>
          <c:dPt>
            <c:idx val="1"/>
            <c:invertIfNegative val="0"/>
            <c:bubble3D val="0"/>
            <c:spPr>
              <a:pattFill prst="dkUpDiag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946-454C-86E9-B2B868D14E63}"/>
              </c:ext>
            </c:extLst>
          </c:dPt>
          <c:dPt>
            <c:idx val="2"/>
            <c:invertIfNegative val="0"/>
            <c:bubble3D val="0"/>
            <c:spPr>
              <a:pattFill prst="dkUpDiag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946-454C-86E9-B2B868D14E6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946-454C-86E9-B2B868D14E6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4946-454C-86E9-B2B868D14E6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946-454C-86E9-B2B868D14E6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946-454C-86E9-B2B868D14E63}"/>
              </c:ext>
            </c:extLst>
          </c:dPt>
          <c:cat>
            <c:multiLvlStrRef>
              <c:f>Data_Sheet!$B$38:$C$44</c:f>
              <c:multiLvlStrCache>
                <c:ptCount val="7"/>
                <c:lvl>
                  <c:pt idx="0">
                    <c:v>Urban Off-Reserve </c:v>
                  </c:pt>
                  <c:pt idx="1">
                    <c:v>Rural On-Reserve </c:v>
                  </c:pt>
                  <c:pt idx="2">
                    <c:v>Rural Off-Reserve </c:v>
                  </c:pt>
                  <c:pt idx="3">
                    <c:v>Lowest Urban </c:v>
                  </c:pt>
                  <c:pt idx="4">
                    <c:v>Highest Urban </c:v>
                  </c:pt>
                  <c:pt idx="5">
                    <c:v>Lowest Rural </c:v>
                  </c:pt>
                  <c:pt idx="6">
                    <c:v>Highest Rural </c:v>
                  </c:pt>
                </c:lvl>
                <c:lvl>
                  <c:pt idx="0">
                    <c:v>First Nations</c:v>
                  </c:pt>
                  <c:pt idx="3">
                    <c:v>All Other Manitobans</c:v>
                  </c:pt>
                </c:lvl>
              </c:multiLvlStrCache>
            </c:multiLvlStrRef>
          </c:cat>
          <c:val>
            <c:numRef>
              <c:f>Data_Sheet!$N$38:$N$44</c:f>
              <c:numCache>
                <c:formatCode>General</c:formatCode>
                <c:ptCount val="7"/>
                <c:pt idx="0">
                  <c:v>6.1154598825999997</c:v>
                </c:pt>
                <c:pt idx="1">
                  <c:v>8.9380530972999992</c:v>
                </c:pt>
                <c:pt idx="2">
                  <c:v>7.0360598065</c:v>
                </c:pt>
                <c:pt idx="3">
                  <c:v>8.2070707070999998</c:v>
                </c:pt>
                <c:pt idx="4">
                  <c:v>5.5967327182000002</c:v>
                </c:pt>
                <c:pt idx="5">
                  <c:v>8.2539682540000001</c:v>
                </c:pt>
                <c:pt idx="6">
                  <c:v>4.7436599161000004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46-454C-86E9-B2B868D14E63}"/>
            </c:ext>
          </c:extLst>
        </c:ser>
        <c:ser>
          <c:idx val="5"/>
          <c:order val="2"/>
          <c:tx>
            <c:strRef>
              <c:f>Data_Sheet!$P$36</c:f>
              <c:strCache>
                <c:ptCount val="1"/>
                <c:pt idx="0">
                  <c:v>Dummy variable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MB First Nation</c:name>
            <c:spPr>
              <a:ln w="15875">
                <a:solidFill>
                  <a:schemeClr val="tx1"/>
                </a:solidFill>
                <a:prstDash val="lgDashDot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Data_Sheet!$B$38:$C$44</c:f>
              <c:multiLvlStrCache>
                <c:ptCount val="7"/>
                <c:lvl>
                  <c:pt idx="0">
                    <c:v>Urban Off-Reserve </c:v>
                  </c:pt>
                  <c:pt idx="1">
                    <c:v>Rural On-Reserve </c:v>
                  </c:pt>
                  <c:pt idx="2">
                    <c:v>Rural Off-Reserve </c:v>
                  </c:pt>
                  <c:pt idx="3">
                    <c:v>Lowest Urban </c:v>
                  </c:pt>
                  <c:pt idx="4">
                    <c:v>Highest Urban </c:v>
                  </c:pt>
                  <c:pt idx="5">
                    <c:v>Lowest Rural </c:v>
                  </c:pt>
                  <c:pt idx="6">
                    <c:v>Highest Rural </c:v>
                  </c:pt>
                </c:lvl>
                <c:lvl>
                  <c:pt idx="0">
                    <c:v>First Nations</c:v>
                  </c:pt>
                  <c:pt idx="3">
                    <c:v>All Other Manitobans</c:v>
                  </c:pt>
                </c:lvl>
              </c:multiLvlStrCache>
            </c:multiLvlStrRef>
          </c:cat>
          <c:val>
            <c:numRef>
              <c:f>Data_Sheet!$P$38:$P$44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4946-454C-86E9-B2B868D14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5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 b="0"/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2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88258048"/>
        <c:crosses val="max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3" tint="-9.9978637043366805E-2"/>
  </sheetPr>
  <sheetViews>
    <sheetView zoomScale="130" workbookViewId="0"/>
  </sheetViews>
  <pageMargins left="0.70866141732283461" right="0.70866141732283461" top="3.1496062992125986" bottom="3.1496062992125986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3" tint="-9.9978637043366805E-2"/>
  </sheetPr>
  <sheetViews>
    <sheetView zoomScale="130" workbookViewId="0"/>
  </sheetViews>
  <pageMargins left="0.70866141732283461" right="0.70866141732283461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9769" cy="418513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0.07913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550269" cy="35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900" b="1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Figure 11.5:</a:t>
          </a:r>
          <a: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 Stillbirth Rates by Health Region</a:t>
          </a:r>
          <a:b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</a:br>
          <a:r>
            <a:rPr lang="en-CA" sz="900" b="0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Crude rate, per 1,000 total births, 2012/13-2016/17</a:t>
          </a:r>
          <a:endParaRPr lang="en-US" sz="900" b="0">
            <a:effectLst/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0.00126</cdr:x>
      <cdr:y>0.83056</cdr:y>
    </cdr:from>
    <cdr:to>
      <cdr:x>1</cdr:x>
      <cdr:y>1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72" y="3699967"/>
          <a:ext cx="6556651" cy="754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Statistically significant differences (p&lt;0.01):</a:t>
          </a:r>
        </a:p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5 - All First Nations compared to All Other Manitobans</a:t>
          </a:r>
        </a:p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s - Data suppressed due to small numbers </a:t>
          </a:r>
        </a:p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Avg - Manitoba average</a:t>
          </a:r>
        </a:p>
      </cdr:txBody>
    </cdr:sp>
  </cdr:relSizeAnchor>
  <cdr:relSizeAnchor xmlns:cdr="http://schemas.openxmlformats.org/drawingml/2006/chartDrawing">
    <cdr:from>
      <cdr:x>0.28</cdr:x>
      <cdr:y>0.17713</cdr:y>
    </cdr:from>
    <cdr:to>
      <cdr:x>0.29709</cdr:x>
      <cdr:y>0.1932</cdr:y>
    </cdr:to>
    <cdr:sp macro="" textlink="Data_Sheet!$M$4">
      <cdr:nvSpPr>
        <cdr:cNvPr id="7" name="TextBox 1"/>
        <cdr:cNvSpPr txBox="1"/>
      </cdr:nvSpPr>
      <cdr:spPr>
        <a:xfrm xmlns:a="http://schemas.openxmlformats.org/drawingml/2006/main">
          <a:off x="1839083" y="789287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E51DD98-B282-4C3D-8D34-800172EA8F34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0.28055</cdr:x>
      <cdr:y>0.1881</cdr:y>
    </cdr:from>
    <cdr:to>
      <cdr:x>0.29764</cdr:x>
      <cdr:y>0.20417</cdr:y>
    </cdr:to>
    <cdr:sp macro="" textlink="Data_Sheet!$N$4">
      <cdr:nvSpPr>
        <cdr:cNvPr id="8" name="TextBox 1"/>
        <cdr:cNvSpPr txBox="1"/>
      </cdr:nvSpPr>
      <cdr:spPr>
        <a:xfrm xmlns:a="http://schemas.openxmlformats.org/drawingml/2006/main">
          <a:off x="1841789" y="837963"/>
          <a:ext cx="112195" cy="71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5F16DD46-81F9-4483-A92D-4C12B9D9E481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s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0.28055</cdr:x>
      <cdr:y>0.20213</cdr:y>
    </cdr:from>
    <cdr:to>
      <cdr:x>0.29764</cdr:x>
      <cdr:y>0.21821</cdr:y>
    </cdr:to>
    <cdr:sp macro="" textlink="Data_Sheet!$O$4">
      <cdr:nvSpPr>
        <cdr:cNvPr id="9" name="TextBox 1"/>
        <cdr:cNvSpPr txBox="1"/>
      </cdr:nvSpPr>
      <cdr:spPr>
        <a:xfrm xmlns:a="http://schemas.openxmlformats.org/drawingml/2006/main">
          <a:off x="1842678" y="900712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B08008C-6145-4561-9507-838BAE6494FA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0.28055</cdr:x>
      <cdr:y>0.21423</cdr:y>
    </cdr:from>
    <cdr:to>
      <cdr:x>0.29764</cdr:x>
      <cdr:y>0.23031</cdr:y>
    </cdr:to>
    <cdr:sp macro="" textlink="Data_Sheet!$P$4">
      <cdr:nvSpPr>
        <cdr:cNvPr id="10" name="TextBox 1"/>
        <cdr:cNvSpPr txBox="1"/>
      </cdr:nvSpPr>
      <cdr:spPr>
        <a:xfrm xmlns:a="http://schemas.openxmlformats.org/drawingml/2006/main">
          <a:off x="1842677" y="954628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5102B762-D787-4184-8390-754AFB12837C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0.27945</cdr:x>
      <cdr:y>0.29005</cdr:y>
    </cdr:from>
    <cdr:to>
      <cdr:x>0.29655</cdr:x>
      <cdr:y>0.30613</cdr:y>
    </cdr:to>
    <cdr:sp macro="" textlink="Data_Sheet!$N$5">
      <cdr:nvSpPr>
        <cdr:cNvPr id="11" name="TextBox 1"/>
        <cdr:cNvSpPr txBox="1"/>
      </cdr:nvSpPr>
      <cdr:spPr>
        <a:xfrm xmlns:a="http://schemas.openxmlformats.org/drawingml/2006/main">
          <a:off x="1835488" y="1292495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BB6539B-BD05-4F80-B090-35B89E3506AC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0.27945</cdr:x>
      <cdr:y>0.30538</cdr:y>
    </cdr:from>
    <cdr:to>
      <cdr:x>0.29655</cdr:x>
      <cdr:y>0.32146</cdr:y>
    </cdr:to>
    <cdr:sp macro="" textlink="Data_Sheet!$O$5">
      <cdr:nvSpPr>
        <cdr:cNvPr id="12" name="TextBox 1"/>
        <cdr:cNvSpPr txBox="1"/>
      </cdr:nvSpPr>
      <cdr:spPr>
        <a:xfrm xmlns:a="http://schemas.openxmlformats.org/drawingml/2006/main">
          <a:off x="1835489" y="1360788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1C04E88-AE10-4B50-81C8-EE56BB8D5A52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0.27945</cdr:x>
      <cdr:y>0.31829</cdr:y>
    </cdr:from>
    <cdr:to>
      <cdr:x>0.29655</cdr:x>
      <cdr:y>0.33436</cdr:y>
    </cdr:to>
    <cdr:sp macro="" textlink="Data_Sheet!$P$5">
      <cdr:nvSpPr>
        <cdr:cNvPr id="13" name="TextBox 1"/>
        <cdr:cNvSpPr txBox="1"/>
      </cdr:nvSpPr>
      <cdr:spPr>
        <a:xfrm xmlns:a="http://schemas.openxmlformats.org/drawingml/2006/main">
          <a:off x="1835488" y="1418298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1082C43-18FF-481C-94CE-6D74D578172B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0.28055</cdr:x>
      <cdr:y>0.3812</cdr:y>
    </cdr:from>
    <cdr:to>
      <cdr:x>0.29764</cdr:x>
      <cdr:y>0.39728</cdr:y>
    </cdr:to>
    <cdr:sp macro="" textlink="Data_Sheet!$M$6">
      <cdr:nvSpPr>
        <cdr:cNvPr id="14" name="TextBox 1"/>
        <cdr:cNvSpPr txBox="1"/>
      </cdr:nvSpPr>
      <cdr:spPr>
        <a:xfrm xmlns:a="http://schemas.openxmlformats.org/drawingml/2006/main">
          <a:off x="1842677" y="1698656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8AE8EB2-8007-4A7C-AE78-81943BB68BFF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0.2811</cdr:x>
      <cdr:y>0.39411</cdr:y>
    </cdr:from>
    <cdr:to>
      <cdr:x>0.29819</cdr:x>
      <cdr:y>0.41018</cdr:y>
    </cdr:to>
    <cdr:sp macro="" textlink="Data_Sheet!$N$6">
      <cdr:nvSpPr>
        <cdr:cNvPr id="15" name="TextBox 1"/>
        <cdr:cNvSpPr txBox="1"/>
      </cdr:nvSpPr>
      <cdr:spPr>
        <a:xfrm xmlns:a="http://schemas.openxmlformats.org/drawingml/2006/main">
          <a:off x="1846272" y="1756165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46DEF58D-4CA2-4B86-A0AB-348A56035C45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0.2811</cdr:x>
      <cdr:y>0.40782</cdr:y>
    </cdr:from>
    <cdr:to>
      <cdr:x>0.29819</cdr:x>
      <cdr:y>0.4239</cdr:y>
    </cdr:to>
    <cdr:sp macro="" textlink="Data_Sheet!$O$6">
      <cdr:nvSpPr>
        <cdr:cNvPr id="16" name="TextBox 1"/>
        <cdr:cNvSpPr txBox="1"/>
      </cdr:nvSpPr>
      <cdr:spPr>
        <a:xfrm xmlns:a="http://schemas.openxmlformats.org/drawingml/2006/main">
          <a:off x="1846272" y="1817269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31E1B66-3621-459B-BDC8-B0FF33C14D21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0.2811</cdr:x>
      <cdr:y>0.42073</cdr:y>
    </cdr:from>
    <cdr:to>
      <cdr:x>0.29819</cdr:x>
      <cdr:y>0.4368</cdr:y>
    </cdr:to>
    <cdr:sp macro="" textlink="Data_Sheet!$P$6">
      <cdr:nvSpPr>
        <cdr:cNvPr id="17" name="TextBox 1"/>
        <cdr:cNvSpPr txBox="1"/>
      </cdr:nvSpPr>
      <cdr:spPr>
        <a:xfrm xmlns:a="http://schemas.openxmlformats.org/drawingml/2006/main">
          <a:off x="1846272" y="1874778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5283801-51A8-4FA8-84F9-81EF0B263035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</cdr:x>
      <cdr:y>0.48606</cdr:y>
    </cdr:from>
    <cdr:to>
      <cdr:x>0.29709</cdr:x>
      <cdr:y>0.50214</cdr:y>
    </cdr:to>
    <cdr:sp macro="" textlink="Data_Sheet!$M$7">
      <cdr:nvSpPr>
        <cdr:cNvPr id="18" name="TextBox 1"/>
        <cdr:cNvSpPr txBox="1"/>
      </cdr:nvSpPr>
      <cdr:spPr>
        <a:xfrm xmlns:a="http://schemas.openxmlformats.org/drawingml/2006/main">
          <a:off x="1839083" y="2165920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49D038A5-514F-4D0D-87D7-929BFF91724C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</cdr:x>
      <cdr:y>0.49559</cdr:y>
    </cdr:from>
    <cdr:to>
      <cdr:x>0.29709</cdr:x>
      <cdr:y>0.51167</cdr:y>
    </cdr:to>
    <cdr:sp macro="" textlink="Data_Sheet!$N$7">
      <cdr:nvSpPr>
        <cdr:cNvPr id="19" name="TextBox 1"/>
        <cdr:cNvSpPr txBox="1"/>
      </cdr:nvSpPr>
      <cdr:spPr>
        <a:xfrm xmlns:a="http://schemas.openxmlformats.org/drawingml/2006/main">
          <a:off x="1838178" y="2207756"/>
          <a:ext cx="112195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126A8F-50FF-4B80-9FD4-FF7A5C292C0B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s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0.27945</cdr:x>
      <cdr:y>0.51107</cdr:y>
    </cdr:from>
    <cdr:to>
      <cdr:x>0.29655</cdr:x>
      <cdr:y>0.52714</cdr:y>
    </cdr:to>
    <cdr:sp macro="" textlink="Data_Sheet!$O$7">
      <cdr:nvSpPr>
        <cdr:cNvPr id="20" name="TextBox 1"/>
        <cdr:cNvSpPr txBox="1"/>
      </cdr:nvSpPr>
      <cdr:spPr>
        <a:xfrm xmlns:a="http://schemas.openxmlformats.org/drawingml/2006/main">
          <a:off x="1835489" y="2277344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041EC44-02A0-43C5-9634-0FF5B0CFBE5B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</cdr:x>
      <cdr:y>0.52397</cdr:y>
    </cdr:from>
    <cdr:to>
      <cdr:x>0.29709</cdr:x>
      <cdr:y>0.54005</cdr:y>
    </cdr:to>
    <cdr:sp macro="" textlink="Data_Sheet!$P$7">
      <cdr:nvSpPr>
        <cdr:cNvPr id="21" name="TextBox 1"/>
        <cdr:cNvSpPr txBox="1"/>
      </cdr:nvSpPr>
      <cdr:spPr>
        <a:xfrm xmlns:a="http://schemas.openxmlformats.org/drawingml/2006/main">
          <a:off x="1839083" y="2334854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5C02398-C0F4-4A9A-8502-A6B2DDC2F092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</cdr:x>
      <cdr:y>0.58696</cdr:y>
    </cdr:from>
    <cdr:to>
      <cdr:x>0.29709</cdr:x>
      <cdr:y>0.60304</cdr:y>
    </cdr:to>
    <cdr:sp macro="" textlink="Data_Sheet!$M$8">
      <cdr:nvSpPr>
        <cdr:cNvPr id="22" name="TextBox 1"/>
        <cdr:cNvSpPr txBox="1"/>
      </cdr:nvSpPr>
      <cdr:spPr>
        <a:xfrm xmlns:a="http://schemas.openxmlformats.org/drawingml/2006/main">
          <a:off x="1839083" y="2615539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85FF2EA-1A0A-4E90-8808-DFD6F63C98E4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0.27934</cdr:x>
      <cdr:y>0.60154</cdr:y>
    </cdr:from>
    <cdr:to>
      <cdr:x>0.29643</cdr:x>
      <cdr:y>0.61761</cdr:y>
    </cdr:to>
    <cdr:sp macro="" textlink="Data_Sheet!$N$8">
      <cdr:nvSpPr>
        <cdr:cNvPr id="23" name="TextBox 1"/>
        <cdr:cNvSpPr txBox="1"/>
      </cdr:nvSpPr>
      <cdr:spPr>
        <a:xfrm xmlns:a="http://schemas.openxmlformats.org/drawingml/2006/main">
          <a:off x="1834754" y="2680482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B9E7865-58C7-460E-A6EC-E6D6918A627F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0.28066</cdr:x>
      <cdr:y>0.6132</cdr:y>
    </cdr:from>
    <cdr:to>
      <cdr:x>0.29775</cdr:x>
      <cdr:y>0.62927</cdr:y>
    </cdr:to>
    <cdr:sp macro="" textlink="Data_Sheet!$O$8">
      <cdr:nvSpPr>
        <cdr:cNvPr id="24" name="TextBox 1"/>
        <cdr:cNvSpPr txBox="1"/>
      </cdr:nvSpPr>
      <cdr:spPr>
        <a:xfrm xmlns:a="http://schemas.openxmlformats.org/drawingml/2006/main">
          <a:off x="1843412" y="2732436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7062746-3658-4CB3-84F6-F4028BD0B1AA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0.28066</cdr:x>
      <cdr:y>0.62777</cdr:y>
    </cdr:from>
    <cdr:to>
      <cdr:x>0.29775</cdr:x>
      <cdr:y>0.64385</cdr:y>
    </cdr:to>
    <cdr:sp macro="" textlink="Data_Sheet!$P$8">
      <cdr:nvSpPr>
        <cdr:cNvPr id="25" name="TextBox 1"/>
        <cdr:cNvSpPr txBox="1"/>
      </cdr:nvSpPr>
      <cdr:spPr>
        <a:xfrm xmlns:a="http://schemas.openxmlformats.org/drawingml/2006/main">
          <a:off x="1843412" y="2797380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EB00CCC9-F4E6-40FC-95D8-A47F58E0389D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59769" cy="418513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0.00719</cdr:y>
    </cdr:from>
    <cdr:to>
      <cdr:x>1</cdr:x>
      <cdr:y>0.11342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0" y="28764"/>
          <a:ext cx="6198577" cy="4249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800" b="1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Figure 11.6:</a:t>
          </a:r>
          <a:r>
            <a:rPr lang="en-CA" sz="8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 Stillbirth Rates for First Nations by On- and Off-Reserve and for All Other Manitobans by Income Quintile</a:t>
          </a:r>
          <a: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/>
          </a:r>
          <a:b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</a:br>
          <a:r>
            <a:rPr lang="en-CA" sz="800" b="0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Crude rate, per 1,000 total births, 2012/13-2016/17</a:t>
          </a:r>
          <a:endParaRPr lang="en-US" sz="800" b="0">
            <a:effectLst/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0.78987</cdr:y>
    </cdr:from>
    <cdr:to>
      <cdr:x>1</cdr:x>
      <cdr:y>1</cdr:y>
    </cdr:to>
    <cdr:sp macro="" textlink="">
      <cdr:nvSpPr>
        <cdr:cNvPr id="17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3165231"/>
          <a:ext cx="6232071" cy="8420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endParaRPr lang="en-CA" sz="700" b="0" i="0" u="none" strike="noStrike" baseline="0">
            <a:solidFill>
              <a:schemeClr val="tx1"/>
            </a:solidFill>
            <a:latin typeface="Segoe UI" panose="020B0502040204020203" pitchFamily="34" charset="0"/>
            <a:ea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0.23372</cdr:x>
      <cdr:y>0.13562</cdr:y>
    </cdr:from>
    <cdr:to>
      <cdr:x>0.25119</cdr:x>
      <cdr:y>0.16018</cdr:y>
    </cdr:to>
    <cdr:sp macro="" textlink="Data_Sheet!$M$38">
      <cdr:nvSpPr>
        <cdr:cNvPr id="15" name="TextBox 1"/>
        <cdr:cNvSpPr txBox="1"/>
      </cdr:nvSpPr>
      <cdr:spPr>
        <a:xfrm xmlns:a="http://schemas.openxmlformats.org/drawingml/2006/main">
          <a:off x="1456559" y="543472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6BE0AD-D149-4AF2-8BAF-69D8AAC7F49F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0.23372</cdr:x>
      <cdr:y>0.22193</cdr:y>
    </cdr:from>
    <cdr:to>
      <cdr:x>0.25119</cdr:x>
      <cdr:y>0.2465</cdr:y>
    </cdr:to>
    <cdr:sp macro="" textlink="Data_Sheet!$M$39">
      <cdr:nvSpPr>
        <cdr:cNvPr id="20" name="TextBox 1"/>
        <cdr:cNvSpPr txBox="1"/>
      </cdr:nvSpPr>
      <cdr:spPr>
        <a:xfrm xmlns:a="http://schemas.openxmlformats.org/drawingml/2006/main">
          <a:off x="1456559" y="889354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F11FAF1-0F4F-43FA-80EE-E6DD8408F973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0.23477</cdr:x>
      <cdr:y>0.31026</cdr:y>
    </cdr:from>
    <cdr:to>
      <cdr:x>0.25224</cdr:x>
      <cdr:y>0.33483</cdr:y>
    </cdr:to>
    <cdr:sp macro="" textlink="Data_Sheet!$M$40">
      <cdr:nvSpPr>
        <cdr:cNvPr id="21" name="TextBox 1"/>
        <cdr:cNvSpPr txBox="1"/>
      </cdr:nvSpPr>
      <cdr:spPr>
        <a:xfrm xmlns:a="http://schemas.openxmlformats.org/drawingml/2006/main">
          <a:off x="1463128" y="1243319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0EEFE821-4411-4805-A939-40CFF4E9DAFE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0.23595</cdr:x>
      <cdr:y>0.40429</cdr:y>
    </cdr:from>
    <cdr:to>
      <cdr:x>0.25341</cdr:x>
      <cdr:y>0.42885</cdr:y>
    </cdr:to>
    <cdr:sp macro="" textlink="Data_Sheet!$M$41">
      <cdr:nvSpPr>
        <cdr:cNvPr id="22" name="TextBox 1"/>
        <cdr:cNvSpPr txBox="1"/>
      </cdr:nvSpPr>
      <cdr:spPr>
        <a:xfrm xmlns:a="http://schemas.openxmlformats.org/drawingml/2006/main">
          <a:off x="1467754" y="1617353"/>
          <a:ext cx="108611" cy="982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5E9DFDC-77CC-4311-8848-CBD849458AA0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0.23583</cdr:x>
      <cdr:y>0.48365</cdr:y>
    </cdr:from>
    <cdr:to>
      <cdr:x>0.2533</cdr:x>
      <cdr:y>0.50821</cdr:y>
    </cdr:to>
    <cdr:sp macro="" textlink="Data_Sheet!$M$42">
      <cdr:nvSpPr>
        <cdr:cNvPr id="23" name="TextBox 1"/>
        <cdr:cNvSpPr txBox="1"/>
      </cdr:nvSpPr>
      <cdr:spPr>
        <a:xfrm xmlns:a="http://schemas.openxmlformats.org/drawingml/2006/main">
          <a:off x="1469697" y="1938115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81AFCD1-2F32-4F2A-B78A-3B29AC2D1A0B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0.23688</cdr:x>
      <cdr:y>0.57525</cdr:y>
    </cdr:from>
    <cdr:to>
      <cdr:x>0.25435</cdr:x>
      <cdr:y>0.59982</cdr:y>
    </cdr:to>
    <cdr:sp macro="" textlink="Data_Sheet!$M$43">
      <cdr:nvSpPr>
        <cdr:cNvPr id="24" name="TextBox 1"/>
        <cdr:cNvSpPr txBox="1"/>
      </cdr:nvSpPr>
      <cdr:spPr>
        <a:xfrm xmlns:a="http://schemas.openxmlformats.org/drawingml/2006/main">
          <a:off x="1476265" y="2305219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55A1D288-8F3D-4D6E-A8BB-75EAAEE332CE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0.23477</cdr:x>
      <cdr:y>0.66705</cdr:y>
    </cdr:from>
    <cdr:to>
      <cdr:x>0.25224</cdr:x>
      <cdr:y>0.69161</cdr:y>
    </cdr:to>
    <cdr:sp macro="" textlink="Data_Sheet!$M$44">
      <cdr:nvSpPr>
        <cdr:cNvPr id="25" name="TextBox 1"/>
        <cdr:cNvSpPr txBox="1"/>
      </cdr:nvSpPr>
      <cdr:spPr>
        <a:xfrm xmlns:a="http://schemas.openxmlformats.org/drawingml/2006/main">
          <a:off x="1463127" y="2673080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7FEE59C-5D45-45D2-AF9D-4F7395FA8D99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0.69883</cdr:x>
      <cdr:y>0.12561</cdr:y>
    </cdr:from>
    <cdr:to>
      <cdr:x>0.95085</cdr:x>
      <cdr:y>0.25158</cdr:y>
    </cdr:to>
    <cdr:grpSp>
      <cdr:nvGrpSpPr>
        <cdr:cNvPr id="18" name="Group 17">
          <a:extLst xmlns:a="http://schemas.openxmlformats.org/drawingml/2006/main">
            <a:ext uri="{FF2B5EF4-FFF2-40B4-BE49-F238E27FC236}">
              <a16:creationId xmlns:a16="http://schemas.microsoft.com/office/drawing/2014/main" id="{2D807FB4-2BE6-42C8-851C-6691930BFBB4}"/>
            </a:ext>
          </a:extLst>
        </cdr:cNvPr>
        <cdr:cNvGrpSpPr/>
      </cdr:nvGrpSpPr>
      <cdr:grpSpPr>
        <a:xfrm xmlns:a="http://schemas.openxmlformats.org/drawingml/2006/main">
          <a:off x="4444397" y="525695"/>
          <a:ext cx="1602789" cy="527202"/>
          <a:chOff x="0" y="0"/>
          <a:chExt cx="1527263" cy="539991"/>
        </a:xfrm>
      </cdr:grpSpPr>
      <cdr:sp macro="" textlink="">
        <cdr:nvSpPr>
          <cdr:cNvPr id="19" name="TextBox 1"/>
          <cdr:cNvSpPr txBox="1"/>
        </cdr:nvSpPr>
        <cdr:spPr>
          <a:xfrm xmlns:a="http://schemas.openxmlformats.org/drawingml/2006/main">
            <a:off x="0" y="0"/>
            <a:ext cx="1527263" cy="539991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solidFill>
              <a:schemeClr val="tx1"/>
            </a:solidFill>
          </a:ln>
        </cdr:spPr>
        <cdr:txBody>
          <a:bodyPr xmlns:a="http://schemas.openxmlformats.org/drawingml/2006/main" wrap="square" rtlCol="0" anchor="ctr">
            <a:noAutofit/>
          </a:bodyPr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>
              <a:spcAft>
                <a:spcPts val="0"/>
              </a:spcAft>
            </a:pPr>
            <a:r>
              <a:rPr lang="en-CA" sz="70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                First Nations</a:t>
            </a:r>
            <a:r>
              <a:rPr lang="en-CA" sz="4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/>
            </a:r>
            <a:br>
              <a:rPr lang="en-CA" sz="4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</a:br>
            <a:r>
              <a:rPr lang="en-CA" sz="4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</a:t>
            </a:r>
            <a:r>
              <a:rPr lang="en-CA" sz="5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</a:t>
            </a:r>
            <a:r>
              <a:rPr lang="en-CA" sz="7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/>
            </a:r>
            <a:br>
              <a:rPr lang="en-CA" sz="7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</a:br>
            <a:r>
              <a:rPr lang="en-CA" sz="7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                </a:t>
            </a:r>
            <a:r>
              <a:rPr lang="en-CA" sz="70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All Other Manitobans</a:t>
            </a:r>
            <a:endParaRPr lang="en-CA" sz="7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cdr:txBody>
      </cdr:sp>
      <cdr:sp macro="" textlink="">
        <cdr:nvSpPr>
          <cdr:cNvPr id="26" name="Rectangle 25"/>
          <cdr:cNvSpPr/>
        </cdr:nvSpPr>
        <cdr:spPr>
          <a:xfrm xmlns:a="http://schemas.openxmlformats.org/drawingml/2006/main">
            <a:off x="89328" y="123052"/>
            <a:ext cx="326700" cy="70088"/>
          </a:xfrm>
          <a:prstGeom xmlns:a="http://schemas.openxmlformats.org/drawingml/2006/main" prst="rect">
            <a:avLst/>
          </a:prstGeom>
          <a:pattFill xmlns:a="http://schemas.openxmlformats.org/drawingml/2006/main" prst="dkUpDiag">
            <a:fgClr>
              <a:schemeClr val="accent1"/>
            </a:fgClr>
            <a:bgClr>
              <a:schemeClr val="bg1"/>
            </a:bgClr>
          </a:pattFill>
          <a:ln xmlns:a="http://schemas.openxmlformats.org/drawingml/2006/main" w="9525">
            <a:solidFill>
              <a:schemeClr val="accent1"/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CA"/>
          </a:p>
        </cdr:txBody>
      </cdr:sp>
      <cdr:sp macro="" textlink="">
        <cdr:nvSpPr>
          <cdr:cNvPr id="27" name="Rectangle 26"/>
          <cdr:cNvSpPr/>
        </cdr:nvSpPr>
        <cdr:spPr>
          <a:xfrm xmlns:a="http://schemas.openxmlformats.org/drawingml/2006/main">
            <a:off x="94814" y="369566"/>
            <a:ext cx="326182" cy="6963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857D"/>
          </a:solidFill>
          <a:ln xmlns:a="http://schemas.openxmlformats.org/drawingml/2006/main" w="9525">
            <a:solidFill>
              <a:srgbClr val="00857D"/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CA"/>
          </a:p>
        </cdr:txBody>
      </cdr:sp>
    </cdr:grp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P28"/>
  <sheetViews>
    <sheetView showGridLines="0" tabSelected="1" workbookViewId="0">
      <selection activeCell="B3" sqref="B3"/>
    </sheetView>
  </sheetViews>
  <sheetFormatPr defaultColWidth="10.6640625" defaultRowHeight="13.2" x14ac:dyDescent="0.3"/>
  <cols>
    <col min="1" max="1" width="1.44140625" style="5" customWidth="1"/>
    <col min="2" max="2" width="28.44140625" style="5" customWidth="1"/>
    <col min="3" max="3" width="12.6640625" style="9" customWidth="1"/>
    <col min="4" max="4" width="12.6640625" style="5" customWidth="1"/>
    <col min="5" max="5" width="12.6640625" style="9" customWidth="1"/>
    <col min="6" max="10" width="12.6640625" style="5" customWidth="1"/>
    <col min="11" max="11" width="1.88671875" style="5" customWidth="1"/>
    <col min="12" max="12" width="20.88671875" style="5" customWidth="1"/>
    <col min="13" max="14" width="12.6640625" style="5" customWidth="1"/>
    <col min="15" max="16384" width="10.6640625" style="5"/>
  </cols>
  <sheetData>
    <row r="1" spans="1:16" x14ac:dyDescent="0.3">
      <c r="B1" s="3" t="s">
        <v>206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6" x14ac:dyDescent="0.3">
      <c r="B2" s="6" t="s">
        <v>207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6" x14ac:dyDescent="0.3">
      <c r="B3" s="13"/>
      <c r="C3" s="14"/>
      <c r="D3" s="14"/>
      <c r="E3" s="14"/>
      <c r="F3" s="14"/>
      <c r="G3" s="14"/>
      <c r="H3" s="14"/>
      <c r="I3" s="14"/>
      <c r="J3" s="14"/>
      <c r="K3" s="4"/>
      <c r="L3" s="4"/>
      <c r="M3" s="4"/>
      <c r="N3" s="4"/>
    </row>
    <row r="4" spans="1:16" s="8" customFormat="1" ht="24.75" customHeight="1" x14ac:dyDescent="0.3">
      <c r="A4" s="19"/>
      <c r="B4" s="101" t="s">
        <v>97</v>
      </c>
      <c r="C4" s="12" t="s">
        <v>98</v>
      </c>
      <c r="D4" s="12" t="s">
        <v>99</v>
      </c>
      <c r="E4" s="12" t="s">
        <v>98</v>
      </c>
      <c r="F4" s="37" t="s">
        <v>99</v>
      </c>
      <c r="G4" s="12" t="s">
        <v>98</v>
      </c>
      <c r="H4" s="37" t="s">
        <v>99</v>
      </c>
      <c r="I4" s="12" t="s">
        <v>98</v>
      </c>
      <c r="J4" s="17" t="s">
        <v>99</v>
      </c>
      <c r="K4" s="10"/>
      <c r="O4" s="7"/>
      <c r="P4" s="7"/>
    </row>
    <row r="5" spans="1:16" s="8" customFormat="1" ht="13.95" customHeight="1" x14ac:dyDescent="0.3">
      <c r="A5" s="19"/>
      <c r="B5" s="102"/>
      <c r="C5" s="99" t="s">
        <v>43</v>
      </c>
      <c r="D5" s="99"/>
      <c r="E5" s="99" t="s">
        <v>45</v>
      </c>
      <c r="F5" s="99"/>
      <c r="G5" s="99" t="s">
        <v>68</v>
      </c>
      <c r="H5" s="99"/>
      <c r="I5" s="99" t="s">
        <v>49</v>
      </c>
      <c r="J5" s="100"/>
      <c r="K5" s="10"/>
      <c r="O5" s="7"/>
      <c r="P5" s="7"/>
    </row>
    <row r="6" spans="1:16" s="7" customFormat="1" ht="13.5" customHeight="1" x14ac:dyDescent="0.3">
      <c r="B6" s="76" t="s">
        <v>69</v>
      </c>
      <c r="C6" s="77">
        <f>Data_Sheet!Z4</f>
        <v>18</v>
      </c>
      <c r="D6" s="78">
        <f>Data_Sheet!R4</f>
        <v>15.570934255999999</v>
      </c>
      <c r="E6" s="77" t="str">
        <f>Data_Sheet!AA4</f>
        <v>s</v>
      </c>
      <c r="F6" s="78" t="s">
        <v>158</v>
      </c>
      <c r="G6" s="77">
        <f>Data_Sheet!AB4</f>
        <v>19</v>
      </c>
      <c r="H6" s="78">
        <f>Data_Sheet!T4</f>
        <v>12.171684816999999</v>
      </c>
      <c r="I6" s="77">
        <f>Data_Sheet!AC4</f>
        <v>80</v>
      </c>
      <c r="J6" s="79">
        <f>Data_Sheet!U4</f>
        <v>6.1064040912999999</v>
      </c>
      <c r="K6" s="10"/>
    </row>
    <row r="7" spans="1:16" s="7" customFormat="1" ht="13.5" customHeight="1" x14ac:dyDescent="0.3">
      <c r="B7" s="80" t="s">
        <v>70</v>
      </c>
      <c r="C7" s="81" t="s">
        <v>90</v>
      </c>
      <c r="D7" s="82" t="s">
        <v>90</v>
      </c>
      <c r="E7" s="81">
        <f>Data_Sheet!AA5</f>
        <v>22</v>
      </c>
      <c r="F7" s="82">
        <f>Data_Sheet!S5</f>
        <v>5.8619770850000004</v>
      </c>
      <c r="G7" s="81">
        <f>Data_Sheet!AB5</f>
        <v>22</v>
      </c>
      <c r="H7" s="82">
        <f>Data_Sheet!T5</f>
        <v>5.8619770850000004</v>
      </c>
      <c r="I7" s="81">
        <f>Data_Sheet!AC5</f>
        <v>207</v>
      </c>
      <c r="J7" s="83">
        <f>Data_Sheet!U5</f>
        <v>5.9583777092999997</v>
      </c>
      <c r="K7" s="10"/>
    </row>
    <row r="8" spans="1:16" s="7" customFormat="1" ht="13.5" customHeight="1" x14ac:dyDescent="0.3">
      <c r="B8" s="84" t="s">
        <v>42</v>
      </c>
      <c r="C8" s="85">
        <f>Data_Sheet!Z6</f>
        <v>11</v>
      </c>
      <c r="D8" s="86">
        <f>Data_Sheet!R6</f>
        <v>9.9367660342999997</v>
      </c>
      <c r="E8" s="85">
        <f>Data_Sheet!AA6</f>
        <v>9</v>
      </c>
      <c r="F8" s="86">
        <f>Data_Sheet!S6</f>
        <v>11.780104712</v>
      </c>
      <c r="G8" s="85">
        <f>Data_Sheet!AB6</f>
        <v>20</v>
      </c>
      <c r="H8" s="86">
        <f>Data_Sheet!T6</f>
        <v>10.689470870999999</v>
      </c>
      <c r="I8" s="85">
        <f>Data_Sheet!AC6</f>
        <v>64</v>
      </c>
      <c r="J8" s="47">
        <f>Data_Sheet!U6</f>
        <v>7.8134537906999997</v>
      </c>
      <c r="K8" s="10"/>
    </row>
    <row r="9" spans="1:16" s="7" customFormat="1" ht="13.5" customHeight="1" x14ac:dyDescent="0.3">
      <c r="B9" s="80" t="s">
        <v>71</v>
      </c>
      <c r="C9" s="81">
        <f>Data_Sheet!Z7</f>
        <v>26</v>
      </c>
      <c r="D9" s="82">
        <f>Data_Sheet!R7</f>
        <v>9.5764272560000006</v>
      </c>
      <c r="E9" s="81" t="str">
        <f>Data_Sheet!AA7</f>
        <v>s</v>
      </c>
      <c r="F9" s="82" t="s">
        <v>158</v>
      </c>
      <c r="G9" s="81">
        <f>Data_Sheet!AB7</f>
        <v>29</v>
      </c>
      <c r="H9" s="82">
        <f>Data_Sheet!T7</f>
        <v>9.4064223159000004</v>
      </c>
      <c r="I9" s="81">
        <f>Data_Sheet!AC7</f>
        <v>17</v>
      </c>
      <c r="J9" s="83">
        <f>Data_Sheet!U7</f>
        <v>3.5624476111000001</v>
      </c>
      <c r="K9" s="10"/>
    </row>
    <row r="10" spans="1:16" s="7" customFormat="1" ht="13.5" customHeight="1" x14ac:dyDescent="0.3">
      <c r="B10" s="84" t="s">
        <v>72</v>
      </c>
      <c r="C10" s="85">
        <f>Data_Sheet!Z8</f>
        <v>46</v>
      </c>
      <c r="D10" s="86">
        <f>Data_Sheet!R8</f>
        <v>7.2383949646000003</v>
      </c>
      <c r="E10" s="85">
        <f>Data_Sheet!AA8</f>
        <v>7</v>
      </c>
      <c r="F10" s="86">
        <f>Data_Sheet!S8</f>
        <v>6.4575645756000002</v>
      </c>
      <c r="G10" s="85">
        <f>Data_Sheet!AB8</f>
        <v>53</v>
      </c>
      <c r="H10" s="86">
        <f>Data_Sheet!T8</f>
        <v>7.1246135232999999</v>
      </c>
      <c r="I10" s="85">
        <f>Data_Sheet!AC8</f>
        <v>15</v>
      </c>
      <c r="J10" s="47">
        <f>Data_Sheet!U8</f>
        <v>10.121457489999999</v>
      </c>
      <c r="K10" s="10"/>
    </row>
    <row r="11" spans="1:16" s="7" customFormat="1" ht="13.5" customHeight="1" x14ac:dyDescent="0.3">
      <c r="B11" s="87" t="s">
        <v>0</v>
      </c>
      <c r="C11" s="88">
        <f>Data_Sheet!Z9</f>
        <v>101</v>
      </c>
      <c r="D11" s="89">
        <f>Data_Sheet!R9</f>
        <v>8.9120268242999998</v>
      </c>
      <c r="E11" s="90">
        <f>Data_Sheet!AA9</f>
        <v>43</v>
      </c>
      <c r="F11" s="89">
        <f>Data_Sheet!S9</f>
        <v>6.7282115474999999</v>
      </c>
      <c r="G11" s="90">
        <f>Data_Sheet!AB9</f>
        <v>144</v>
      </c>
      <c r="H11" s="89">
        <f>Data_Sheet!T9</f>
        <v>8.124576845</v>
      </c>
      <c r="I11" s="90">
        <f>Data_Sheet!AC9</f>
        <v>383</v>
      </c>
      <c r="J11" s="89">
        <f>Data_Sheet!U9</f>
        <v>6.1436293932000003</v>
      </c>
      <c r="K11" s="36"/>
    </row>
    <row r="12" spans="1:16" s="8" customFormat="1" ht="13.5" customHeight="1" x14ac:dyDescent="0.3">
      <c r="B12" s="15"/>
      <c r="C12" s="15"/>
      <c r="D12" s="15"/>
      <c r="E12"/>
      <c r="F12"/>
      <c r="G12"/>
      <c r="H12"/>
      <c r="I12"/>
      <c r="J12"/>
      <c r="K12" s="10"/>
      <c r="O12" s="7"/>
      <c r="P12" s="7"/>
    </row>
    <row r="13" spans="1:16" ht="24.75" customHeight="1" x14ac:dyDescent="0.3">
      <c r="A13" s="18"/>
      <c r="B13" s="103" t="s">
        <v>96</v>
      </c>
      <c r="C13" s="57" t="s">
        <v>98</v>
      </c>
      <c r="D13" s="57" t="s">
        <v>99</v>
      </c>
      <c r="E13" s="60" t="s">
        <v>98</v>
      </c>
      <c r="F13" s="58" t="s">
        <v>99</v>
      </c>
      <c r="G13" s="11"/>
      <c r="H13" s="11"/>
      <c r="I13" s="11"/>
      <c r="J13" s="11"/>
      <c r="K13" s="11"/>
    </row>
    <row r="14" spans="1:16" ht="13.5" customHeight="1" x14ac:dyDescent="0.3">
      <c r="A14" s="18"/>
      <c r="B14" s="104"/>
      <c r="C14" s="99" t="s">
        <v>43</v>
      </c>
      <c r="D14" s="105"/>
      <c r="E14" s="99" t="s">
        <v>45</v>
      </c>
      <c r="F14" s="100"/>
      <c r="G14" s="11"/>
      <c r="H14" s="11"/>
      <c r="I14" s="11"/>
      <c r="J14" s="11"/>
      <c r="K14" s="11"/>
    </row>
    <row r="15" spans="1:16" ht="13.5" customHeight="1" x14ac:dyDescent="0.3">
      <c r="A15" s="18"/>
      <c r="B15" s="75" t="str">
        <f>Data_Sheet!D24</f>
        <v>Interlake Reserves (IRTC)</v>
      </c>
      <c r="C15" s="43">
        <f>Data_Sheet!M13</f>
        <v>9</v>
      </c>
      <c r="D15" s="44">
        <f>Data_Sheet!K13</f>
        <v>10.215664018</v>
      </c>
      <c r="E15" s="72">
        <f>Data_Sheet!M24</f>
        <v>6</v>
      </c>
      <c r="F15" s="73">
        <f>Data_Sheet!K24</f>
        <v>7.8431372549000002</v>
      </c>
      <c r="G15" s="11"/>
      <c r="H15" s="11"/>
      <c r="I15" s="11"/>
      <c r="J15" s="11"/>
      <c r="K15" s="11"/>
    </row>
    <row r="16" spans="1:16" ht="13.5" customHeight="1" x14ac:dyDescent="0.3">
      <c r="A16" s="18"/>
      <c r="B16" s="74" t="str">
        <f>Data_Sheet!D25</f>
        <v>West Region (WRTC)</v>
      </c>
      <c r="C16" s="45">
        <f>Data_Sheet!M14</f>
        <v>9</v>
      </c>
      <c r="D16" s="46">
        <f>Data_Sheet!K14</f>
        <v>13.677811549999999</v>
      </c>
      <c r="E16" s="61">
        <f>Data_Sheet!M25</f>
        <v>8</v>
      </c>
      <c r="F16" s="62">
        <f>Data_Sheet!K25</f>
        <v>13.157894736999999</v>
      </c>
      <c r="G16" s="11"/>
      <c r="H16" s="11"/>
      <c r="I16" s="11"/>
      <c r="J16" s="11"/>
      <c r="K16" s="11"/>
    </row>
    <row r="17" spans="1:11" ht="13.5" customHeight="1" x14ac:dyDescent="0.3">
      <c r="A17" s="18"/>
      <c r="B17" s="75" t="str">
        <f>Data_Sheet!D26</f>
        <v>Independent-North</v>
      </c>
      <c r="C17" s="43">
        <f>Data_Sheet!M15</f>
        <v>15</v>
      </c>
      <c r="D17" s="44">
        <f>Data_Sheet!K15</f>
        <v>6.3398140320999996</v>
      </c>
      <c r="E17" s="72">
        <f>Data_Sheet!M26</f>
        <v>8</v>
      </c>
      <c r="F17" s="73">
        <f>Data_Sheet!K26</f>
        <v>8.1716036772000002</v>
      </c>
      <c r="G17" s="11"/>
      <c r="H17" s="11"/>
      <c r="I17" s="11"/>
      <c r="J17" s="11"/>
      <c r="K17" s="11"/>
    </row>
    <row r="18" spans="1:11" ht="13.5" customHeight="1" x14ac:dyDescent="0.3">
      <c r="A18" s="18"/>
      <c r="B18" s="74" t="str">
        <f>Data_Sheet!D27</f>
        <v>Swampy Cree (SCTC)</v>
      </c>
      <c r="C18" s="45" t="s">
        <v>158</v>
      </c>
      <c r="D18" s="46" t="s">
        <v>158</v>
      </c>
      <c r="E18" s="61" t="s">
        <v>158</v>
      </c>
      <c r="F18" s="62" t="s">
        <v>158</v>
      </c>
      <c r="G18" s="11"/>
      <c r="H18" s="11"/>
      <c r="I18" s="11"/>
      <c r="J18" s="11"/>
      <c r="K18" s="11"/>
    </row>
    <row r="19" spans="1:11" ht="13.5" customHeight="1" x14ac:dyDescent="0.3">
      <c r="A19" s="18"/>
      <c r="B19" s="75" t="str">
        <f>Data_Sheet!D28</f>
        <v>Keewatin (KTC)</v>
      </c>
      <c r="C19" s="43">
        <f>Data_Sheet!M17</f>
        <v>15</v>
      </c>
      <c r="D19" s="44">
        <f>Data_Sheet!K17</f>
        <v>9.8360655737999991</v>
      </c>
      <c r="E19" s="72" t="s">
        <v>158</v>
      </c>
      <c r="F19" s="73" t="s">
        <v>158</v>
      </c>
      <c r="G19" s="11"/>
      <c r="H19" s="11"/>
      <c r="I19" s="11"/>
      <c r="J19" s="11"/>
      <c r="K19" s="11"/>
    </row>
    <row r="20" spans="1:11" ht="13.5" customHeight="1" x14ac:dyDescent="0.3">
      <c r="A20" s="18"/>
      <c r="B20" s="74" t="str">
        <f>Data_Sheet!D29</f>
        <v>Independent-South</v>
      </c>
      <c r="C20" s="45">
        <f>Data_Sheet!M18</f>
        <v>17</v>
      </c>
      <c r="D20" s="46">
        <f>Data_Sheet!K18</f>
        <v>10.698552549</v>
      </c>
      <c r="E20" s="61">
        <f>Data_Sheet!M29</f>
        <v>7</v>
      </c>
      <c r="F20" s="62">
        <f>Data_Sheet!K29</f>
        <v>6.4575645756000002</v>
      </c>
      <c r="G20" s="11"/>
      <c r="H20" s="11"/>
      <c r="I20" s="11"/>
      <c r="J20" s="11"/>
      <c r="K20" s="11"/>
    </row>
    <row r="21" spans="1:11" ht="13.5" customHeight="1" x14ac:dyDescent="0.3">
      <c r="A21" s="18"/>
      <c r="B21" s="75" t="str">
        <f>Data_Sheet!D30</f>
        <v>Dakota Ojibway TC (DOTC)</v>
      </c>
      <c r="C21" s="43">
        <f>Data_Sheet!M19</f>
        <v>7</v>
      </c>
      <c r="D21" s="44">
        <f>Data_Sheet!K19</f>
        <v>9.0909090909000003</v>
      </c>
      <c r="E21" s="72" t="s">
        <v>158</v>
      </c>
      <c r="F21" s="73" t="s">
        <v>158</v>
      </c>
      <c r="G21" s="11"/>
      <c r="H21" s="11"/>
      <c r="I21" s="11"/>
      <c r="J21" s="11"/>
      <c r="K21" s="11"/>
    </row>
    <row r="22" spans="1:11" ht="13.5" customHeight="1" x14ac:dyDescent="0.3">
      <c r="A22" s="18"/>
      <c r="B22" s="74" t="str">
        <f>Data_Sheet!D31</f>
        <v>Southeast (SERDC)</v>
      </c>
      <c r="C22" s="45">
        <f>Data_Sheet!M20</f>
        <v>11</v>
      </c>
      <c r="D22" s="46">
        <f>Data_Sheet!K20</f>
        <v>12.514220705</v>
      </c>
      <c r="E22" s="61" t="s">
        <v>158</v>
      </c>
      <c r="F22" s="62" t="s">
        <v>158</v>
      </c>
      <c r="G22" s="11"/>
      <c r="H22" s="11"/>
      <c r="I22" s="11"/>
      <c r="J22" s="11"/>
      <c r="K22" s="11"/>
    </row>
    <row r="23" spans="1:11" ht="13.5" customHeight="1" x14ac:dyDescent="0.3">
      <c r="A23" s="18"/>
      <c r="B23" s="75" t="str">
        <f>Data_Sheet!D32</f>
        <v>Island Lake (ILTC)</v>
      </c>
      <c r="C23" s="43">
        <f>Data_Sheet!M21</f>
        <v>12</v>
      </c>
      <c r="D23" s="47">
        <f>Data_Sheet!K21</f>
        <v>8.0375083723999996</v>
      </c>
      <c r="E23" s="72" t="s">
        <v>158</v>
      </c>
      <c r="F23" s="73" t="s">
        <v>158</v>
      </c>
      <c r="G23" s="11"/>
      <c r="H23" s="11"/>
      <c r="I23" s="11"/>
      <c r="J23" s="11"/>
      <c r="K23" s="11"/>
    </row>
    <row r="24" spans="1:11" ht="13.5" customHeight="1" x14ac:dyDescent="0.3">
      <c r="A24" s="18"/>
      <c r="B24" s="74" t="str">
        <f>Data_Sheet!D33</f>
        <v>Non-affiliated</v>
      </c>
      <c r="C24" s="42" t="s">
        <v>158</v>
      </c>
      <c r="D24" s="48" t="s">
        <v>158</v>
      </c>
      <c r="E24" s="61">
        <f>Data_Sheet!M33</f>
        <v>0</v>
      </c>
      <c r="F24" s="62">
        <f>Data_Sheet!K33</f>
        <v>2.5136022000000001E-8</v>
      </c>
      <c r="G24" s="11"/>
      <c r="H24" s="11"/>
      <c r="I24" s="11"/>
      <c r="J24" s="11"/>
      <c r="K24" s="11"/>
    </row>
    <row r="25" spans="1:11" ht="13.5" customHeight="1" x14ac:dyDescent="0.3">
      <c r="A25" s="18"/>
      <c r="B25" s="52" t="s">
        <v>120</v>
      </c>
      <c r="C25" s="93">
        <f>Data_Sheet!M23</f>
        <v>101</v>
      </c>
      <c r="D25" s="94">
        <f>Data_Sheet!K23</f>
        <v>8.9120268242999998</v>
      </c>
      <c r="E25" s="64">
        <f>Data_Sheet!M34</f>
        <v>42</v>
      </c>
      <c r="F25" s="95">
        <f>Data_Sheet!K34</f>
        <v>7.0600100857000001</v>
      </c>
      <c r="G25" s="11"/>
      <c r="H25" s="11"/>
      <c r="I25" s="11"/>
      <c r="J25" s="11"/>
      <c r="K25" s="11"/>
    </row>
    <row r="26" spans="1:11" x14ac:dyDescent="0.3">
      <c r="A26" s="11"/>
      <c r="B26" s="53"/>
      <c r="C26" s="50"/>
      <c r="D26" s="51"/>
      <c r="E26" s="63"/>
      <c r="F26" s="49"/>
      <c r="G26" s="11"/>
      <c r="H26" s="11"/>
      <c r="I26" s="11"/>
      <c r="J26" s="11"/>
      <c r="K26" s="11"/>
    </row>
    <row r="27" spans="1:11" ht="14.4" x14ac:dyDescent="0.3">
      <c r="B27" s="20" t="s">
        <v>95</v>
      </c>
      <c r="E27"/>
      <c r="F27"/>
      <c r="G27"/>
    </row>
    <row r="28" spans="1:11" x14ac:dyDescent="0.3">
      <c r="B28" s="5" t="s">
        <v>91</v>
      </c>
    </row>
  </sheetData>
  <mergeCells count="8">
    <mergeCell ref="E14:F14"/>
    <mergeCell ref="E5:F5"/>
    <mergeCell ref="I5:J5"/>
    <mergeCell ref="B4:B5"/>
    <mergeCell ref="G5:H5"/>
    <mergeCell ref="C5:D5"/>
    <mergeCell ref="B13:B14"/>
    <mergeCell ref="C14:D14"/>
  </mergeCells>
  <pageMargins left="0.7" right="0.7" top="0.75" bottom="0.75" header="0.3" footer="0.3"/>
  <pageSetup scale="88" orientation="landscape" r:id="rId1"/>
  <headerFooter alignWithMargins="0"/>
  <ignoredErrors>
    <ignoredError sqref="C7:D7" calculatedColum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D39"/>
  <sheetViews>
    <sheetView zoomScale="80" zoomScaleNormal="80" workbookViewId="0">
      <selection activeCell="D14" sqref="D14"/>
    </sheetView>
  </sheetViews>
  <sheetFormatPr defaultRowHeight="14.4" x14ac:dyDescent="0.3"/>
  <cols>
    <col min="2" max="2" width="24" bestFit="1" customWidth="1"/>
    <col min="3" max="3" width="18.109375" bestFit="1" customWidth="1"/>
    <col min="4" max="4" width="158" style="2" customWidth="1"/>
  </cols>
  <sheetData>
    <row r="1" spans="2:4" s="2" customFormat="1" ht="15" thickBot="1" x14ac:dyDescent="0.35">
      <c r="B1" s="26" t="s">
        <v>73</v>
      </c>
    </row>
    <row r="2" spans="2:4" x14ac:dyDescent="0.3">
      <c r="B2" s="21"/>
      <c r="C2" s="39" t="s">
        <v>55</v>
      </c>
      <c r="D2" s="40" t="s">
        <v>74</v>
      </c>
    </row>
    <row r="3" spans="2:4" x14ac:dyDescent="0.3">
      <c r="B3" s="22" t="str">
        <f>orig_rha!$AL$4</f>
        <v>FN_ON_sign</v>
      </c>
      <c r="C3" s="23">
        <f>COUNTIF(orig_rha!$AL$5:$AQ$10, "c")</f>
        <v>0</v>
      </c>
      <c r="D3" s="24" t="str">
        <f>IF(C3&gt;0, "1 - The difference between this area's First Nations On-Reserve rate and the average First Nations On-Reserve rate was statistically significant (p&lt;0.01).","")</f>
        <v/>
      </c>
    </row>
    <row r="4" spans="2:4" x14ac:dyDescent="0.3">
      <c r="B4" s="22" t="str">
        <f>orig_rha!$AM$4</f>
        <v>FN_OFF_sign</v>
      </c>
      <c r="C4" s="23">
        <f>COUNTIF(orig_rha!$AL$5:$AQ$10, "d")</f>
        <v>0</v>
      </c>
      <c r="D4" s="24" t="str">
        <f>IF(C4&gt;0, "2 - The difference between this area's First Nations Off-Reserve rate and the average First Nations Off-Reserve rate was statistically significant (p&lt;0.01).","")</f>
        <v/>
      </c>
    </row>
    <row r="5" spans="2:4" x14ac:dyDescent="0.3">
      <c r="B5" s="22" t="str">
        <f>orig_rha!$AN$4</f>
        <v>FN_sign</v>
      </c>
      <c r="C5" s="23">
        <f>COUNTIF(orig_rha!$AL$5:$AQ$10, "e")</f>
        <v>0</v>
      </c>
      <c r="D5" s="24" t="str">
        <f>IF(C5&gt;0, "3 - The difference between this area's First Nations rate and the average First Nations rate was statistically significant (p&lt;0.01).","")</f>
        <v/>
      </c>
    </row>
    <row r="6" spans="2:4" x14ac:dyDescent="0.3">
      <c r="B6" s="22" t="str">
        <f>orig_rha!$AO$4</f>
        <v>AOMB_sign</v>
      </c>
      <c r="C6" s="23">
        <f>COUNTIF(orig_rha!$AL$5:$AQ$10, "f")</f>
        <v>0</v>
      </c>
      <c r="D6" s="24" t="str">
        <f>IF(C6&gt;0, "4 - The difference between this area's All Other Manitobans rate and the average All Other Manitobans rate was statistically significant (p&lt;0.01).","")</f>
        <v/>
      </c>
    </row>
    <row r="7" spans="2:4" x14ac:dyDescent="0.3">
      <c r="B7" s="22" t="str">
        <f>orig_rha!$AP$4</f>
        <v>FNvsAOMB_sign</v>
      </c>
      <c r="C7" s="23">
        <f>COUNTIF(orig_rha!$AL$5:$AQ$10, "b")</f>
        <v>2</v>
      </c>
      <c r="D7" s="24" t="str">
        <f>IF(C7&gt;0, "5 - The difference between this area's First Nations rate and this area’s All Other Manitobans rate was statistically significant (p&lt;0.01).","")</f>
        <v>5 - The difference between this area's First Nations rate and this area’s All Other Manitobans rate was statistically significant (p&lt;0.01).</v>
      </c>
    </row>
    <row r="8" spans="2:4" x14ac:dyDescent="0.3">
      <c r="B8" s="22" t="str">
        <f>orig_rha!$AQ$4</f>
        <v>ONvsOFF_sign</v>
      </c>
      <c r="C8" s="23">
        <f>COUNTIF(orig_rha!$AL$5:$AQ$10, "a")</f>
        <v>0</v>
      </c>
      <c r="D8" s="24" t="str">
        <f>IF(C8&gt;0, "6 - The difference between this area's First Nations On-Reserve rate and this area’s First Nations Off-Reserve rate was statistically significant (p&lt;0.01).","")</f>
        <v/>
      </c>
    </row>
    <row r="9" spans="2:4" x14ac:dyDescent="0.3">
      <c r="B9" s="22" t="s">
        <v>58</v>
      </c>
      <c r="C9" s="23">
        <f>COUNTIF(Data_Sheet!$M$5:$P$9,"s")</f>
        <v>1</v>
      </c>
      <c r="D9" s="24" t="str">
        <f>IF(C9&gt;0,"s – Data suppressed due to small numbers","")</f>
        <v>s – Data suppressed due to small numbers</v>
      </c>
    </row>
    <row r="10" spans="2:4" ht="101.4" thickBot="1" x14ac:dyDescent="0.35">
      <c r="B10" s="106" t="s">
        <v>75</v>
      </c>
      <c r="C10" s="107"/>
      <c r="D10" s="27" t="str">
        <f>CONCATENATE(D3,CHAR(10),D4,CHAR(10),D5,CHAR(10),D6,CHAR(10),D7,CHAR(10),D8,CHAR(10),D9)</f>
        <v xml:space="preserve">
5 - The difference between this area's First Nations rate and this area’s All Other Manitobans rate was statistically significant (p&lt;0.01).
s – Data suppressed due to small numbers</v>
      </c>
    </row>
    <row r="12" spans="2:4" ht="15" thickBot="1" x14ac:dyDescent="0.35">
      <c r="B12" s="26" t="s">
        <v>77</v>
      </c>
      <c r="C12" s="26" t="s">
        <v>189</v>
      </c>
    </row>
    <row r="13" spans="2:4" x14ac:dyDescent="0.3">
      <c r="B13" s="21"/>
      <c r="C13" s="39" t="s">
        <v>55</v>
      </c>
      <c r="D13" s="40" t="s">
        <v>76</v>
      </c>
    </row>
    <row r="14" spans="2:4" s="2" customFormat="1" x14ac:dyDescent="0.3">
      <c r="B14" s="22" t="str">
        <f>orig_tribal!K4</f>
        <v>bm_tribal</v>
      </c>
      <c r="C14" s="70">
        <f>COUNTIF(orig_tribal!$K$5:$K$14,1)</f>
        <v>1</v>
      </c>
      <c r="D14" s="71"/>
    </row>
    <row r="15" spans="2:4" s="2" customFormat="1" x14ac:dyDescent="0.3">
      <c r="B15" s="22" t="str">
        <f>orig_tribal!K4</f>
        <v>bm_tribal</v>
      </c>
      <c r="C15" s="70">
        <f>COUNTIF(orig_tribal!$K$16:$K$25,1)</f>
        <v>1</v>
      </c>
      <c r="D15" s="71"/>
    </row>
    <row r="16" spans="2:4" s="2" customFormat="1" x14ac:dyDescent="0.3">
      <c r="B16" s="22" t="s">
        <v>190</v>
      </c>
      <c r="C16" s="23">
        <f>COUNTIF(orig_tribal!$U$5:$U$14,"b")</f>
        <v>0</v>
      </c>
      <c r="D16" s="24" t="str">
        <f>IF(C16&gt;0,"† - The difference between this area’s rate and the lowest/highest First Nations On-Reserve rate (Tribal Council) was statistically significant (p&lt;0.01).","")</f>
        <v/>
      </c>
    </row>
    <row r="17" spans="2:4" s="2" customFormat="1" x14ac:dyDescent="0.3">
      <c r="B17" s="22" t="s">
        <v>191</v>
      </c>
      <c r="C17" s="23">
        <f>COUNTIF(orig_tribal!$U$16:$U$25,"b")</f>
        <v>0</v>
      </c>
      <c r="D17" s="24" t="str">
        <f>IF(C17&gt;0,"‡ - The difference between this area’s rate and the lowest/highest First Nations Off-Reserve rate (Tribal Council) was statistically significant (p&lt;0.01).","")</f>
        <v/>
      </c>
    </row>
    <row r="18" spans="2:4" s="2" customFormat="1" x14ac:dyDescent="0.3">
      <c r="B18" s="22" t="str">
        <f>orig_tribal!V4</f>
        <v>tribal_ONvsOFF_sign</v>
      </c>
      <c r="C18" s="23">
        <f>COUNTIF(orig_tribal!$V$5:$V$14,"d")</f>
        <v>0</v>
      </c>
      <c r="D18" s="24" t="str">
        <f>IF(C18&gt;0,"§ - The difference between this area’s First Nations On-Reserve and Off-Reserve rate was statistically significant (p&lt;0.01).","")</f>
        <v/>
      </c>
    </row>
    <row r="19" spans="2:4" x14ac:dyDescent="0.3">
      <c r="B19" s="41" t="str">
        <f>orig_tribal!Y4</f>
        <v>tribal_ONvsOFF_suppress</v>
      </c>
      <c r="C19" s="23">
        <f>COUNTIF(orig_tribal!$Y$5:$Y$25,"s")</f>
        <v>7</v>
      </c>
      <c r="D19" s="24" t="str">
        <f>IF(C19&gt;0,"s – Data suppressed due to small numbers","")</f>
        <v>s – Data suppressed due to small numbers</v>
      </c>
    </row>
    <row r="20" spans="2:4" ht="72.599999999999994" thickBot="1" x14ac:dyDescent="0.35">
      <c r="B20" s="106" t="s">
        <v>75</v>
      </c>
      <c r="C20" s="107"/>
      <c r="D20" s="25" t="str">
        <f>CONCATENATE(CHAR(10),D16,CHAR(10),D17,CHAR(10),D18,CHAR(10),D19)</f>
        <v xml:space="preserve">
s – Data suppressed due to small numbers</v>
      </c>
    </row>
    <row r="22" spans="2:4" ht="15" thickBot="1" x14ac:dyDescent="0.35">
      <c r="B22" s="26" t="s">
        <v>192</v>
      </c>
    </row>
    <row r="23" spans="2:4" x14ac:dyDescent="0.3">
      <c r="B23" s="21"/>
      <c r="C23" s="39" t="s">
        <v>55</v>
      </c>
      <c r="D23" s="40" t="s">
        <v>74</v>
      </c>
    </row>
    <row r="24" spans="2:4" x14ac:dyDescent="0.3">
      <c r="B24" s="22" t="str">
        <f>CONCATENATE(orig_income!$B$8," ",orig_income!$C$8," ",orig_income!$P$4)</f>
        <v>Urban Q1 FN_OFF_sign</v>
      </c>
      <c r="C24" s="23">
        <f>IF(orig_income!$P$8="o","1",0)</f>
        <v>0</v>
      </c>
      <c r="D24" s="24" t="str">
        <f>IF(C24&gt;0, "1 - The difference between the Urban Off-Reserve First Nations rate and the All Other Manitobans Lowest Urban rate was statistically significant (p&lt;0.01).","")</f>
        <v/>
      </c>
    </row>
    <row r="25" spans="2:4" x14ac:dyDescent="0.3">
      <c r="B25" s="22" t="str">
        <f>CONCATENATE(orig_income!$B$12," ",orig_income!$C$12," ",orig_income!$P$4)</f>
        <v>Urban Q5 FN_OFF_sign</v>
      </c>
      <c r="C25" s="23">
        <f>IF(orig_income!$P$12="o","2",0)</f>
        <v>0</v>
      </c>
      <c r="D25" s="24" t="str">
        <f>IF(C25&gt;0, "2 - The difference between the Urban Off-Reserve First Nations rate and the All Other Manitobans Highest Urban rate was statistically significant (p&lt;0.01).","")</f>
        <v/>
      </c>
    </row>
    <row r="26" spans="2:4" x14ac:dyDescent="0.3">
      <c r="B26" s="22" t="str">
        <f>CONCATENATE(orig_income!$B$13," ",orig_income!$C$13," ",orig_income!$O$4)</f>
        <v>Rural Q1 FN_ON_sign</v>
      </c>
      <c r="C26" s="23">
        <f>IF(orig_income!$O$13="r","3",0)</f>
        <v>0</v>
      </c>
      <c r="D26" s="24" t="str">
        <f>IF(C26&gt;0, "3 - The difference between the Rural On-Reserve First Nations rate and the All Other Manitobans Lowest Rural rate was statistically significant (p&lt;0.01).","")</f>
        <v/>
      </c>
    </row>
    <row r="27" spans="2:4" x14ac:dyDescent="0.3">
      <c r="B27" s="22" t="str">
        <f>CONCATENATE(orig_income!$B$17," ",orig_income!$C$17," ",orig_income!$O$4)</f>
        <v>Rural Q5 FN_ON_sign</v>
      </c>
      <c r="C27" s="23">
        <f>IF(orig_income!$O$17="r","4",0)</f>
        <v>0</v>
      </c>
      <c r="D27" s="24" t="str">
        <f>IF(C27&gt;0, "4 - The difference between the Rural On-Reserve First Nations rate and the All Other Manitobans Highest Rural rate was statistically significant (p&lt;0.01).","")</f>
        <v/>
      </c>
    </row>
    <row r="28" spans="2:4" x14ac:dyDescent="0.3">
      <c r="B28" s="22" t="str">
        <f>CONCATENATE(orig_income!$B$13," ",orig_income!$C$13," ",orig_income!$P$4)</f>
        <v>Rural Q1 FN_OFF_sign</v>
      </c>
      <c r="C28" s="23">
        <f>IF(orig_income!$P$13="o","5",0)</f>
        <v>0</v>
      </c>
      <c r="D28" s="24" t="str">
        <f>IF(C28&gt;0, "5 - The difference between the Rural Off-Reserve First Nations rate and the All Other Manitobans Lowest Rural rate was statistically significant (p&lt;0.01).","")</f>
        <v/>
      </c>
    </row>
    <row r="29" spans="2:4" x14ac:dyDescent="0.3">
      <c r="B29" s="22" t="str">
        <f>CONCATENATE(orig_income!$B$17," ",orig_income!$C$17," ",orig_income!$P$4)</f>
        <v>Rural Q5 FN_OFF_sign</v>
      </c>
      <c r="C29" s="23">
        <f>IF(orig_income!$P$17="o","6",0)</f>
        <v>0</v>
      </c>
      <c r="D29" s="24" t="str">
        <f>IF(C29&gt;0, "6 - The difference between the Rural Off-Reserve First Nations rate and the All Other Manitobans Highest Rural rate was statistically significant (p&lt;0.01).","")</f>
        <v/>
      </c>
    </row>
    <row r="30" spans="2:4" x14ac:dyDescent="0.3">
      <c r="B30" s="22" t="s">
        <v>58</v>
      </c>
      <c r="C30" s="23">
        <f>IF(OR(orig_income!$Q$5="s",orig_income!$Q$6="s",orig_income!$Q$7="s",orig_income!$Q$8="s",orig_income!$Q$12="s",orig_income!$Q$13="s",orig_income!$Q$12="s",orig_income!$Q$17="s"),1,0)</f>
        <v>0</v>
      </c>
      <c r="D30" s="24" t="str">
        <f>IF(C30&gt;0,"s – Data suppressed due to small numbers","")</f>
        <v/>
      </c>
    </row>
    <row r="31" spans="2:4" ht="101.4" thickBot="1" x14ac:dyDescent="0.35">
      <c r="B31" s="106" t="s">
        <v>75</v>
      </c>
      <c r="C31" s="107"/>
      <c r="D31" s="27" t="str">
        <f>CONCATENATE(D24,CHAR(10),D25,CHAR(10),D26,CHAR(10),D27,CHAR(10),D28,CHAR(10),D29,CHAR(10),D30)</f>
        <v xml:space="preserve">
</v>
      </c>
    </row>
    <row r="33" spans="2:4" s="2" customFormat="1" ht="15" thickBot="1" x14ac:dyDescent="0.35">
      <c r="B33" s="26" t="s">
        <v>193</v>
      </c>
    </row>
    <row r="34" spans="2:4" s="2" customFormat="1" x14ac:dyDescent="0.3">
      <c r="B34" s="21"/>
      <c r="C34" s="39" t="s">
        <v>55</v>
      </c>
      <c r="D34" s="40" t="s">
        <v>74</v>
      </c>
    </row>
    <row r="35" spans="2:4" s="2" customFormat="1" x14ac:dyDescent="0.3">
      <c r="B35" s="22" t="str">
        <f>CONCATENATE(orig_income!$B$8," ",orig_income!$C$8," ",orig_income!$P$4)</f>
        <v>Urban Q1 FN_OFF_sign</v>
      </c>
      <c r="C35" s="23">
        <f>IF(orig_income!$P$8="o","1",0)</f>
        <v>0</v>
      </c>
      <c r="D35" s="24" t="str">
        <f>IF(C35&gt;0, "1 - The difference between the Urban Off-Reserve First Nations rate and the All Other Manitobans Lowest Urban rate was statistically significant (p&lt;0.01).","")</f>
        <v/>
      </c>
    </row>
    <row r="36" spans="2:4" s="2" customFormat="1" x14ac:dyDescent="0.3">
      <c r="B36" s="22" t="str">
        <f>CONCATENATE(orig_income!$B$13," ",orig_income!$C$13," ",orig_income!$O$4)</f>
        <v>Rural Q1 FN_ON_sign</v>
      </c>
      <c r="C36" s="23">
        <f>IF(orig_income!$O$13="r","3",0)</f>
        <v>0</v>
      </c>
      <c r="D36" s="24" t="str">
        <f>IF(C36&gt;0, "2 - The difference between the Rural On-Reserve First Nations rate and the All Other Manitobans Lowest Rural rate was statistically significant (p&lt;0.01).","")</f>
        <v/>
      </c>
    </row>
    <row r="37" spans="2:4" s="2" customFormat="1" x14ac:dyDescent="0.3">
      <c r="B37" s="22" t="str">
        <f>CONCATENATE(orig_income!$B$13," ",orig_income!$C$13," ",orig_income!$P$4)</f>
        <v>Rural Q1 FN_OFF_sign</v>
      </c>
      <c r="C37" s="23">
        <f>IF(orig_income!$P$13="o","5",0)</f>
        <v>0</v>
      </c>
      <c r="D37" s="24" t="str">
        <f>IF(C37&gt;0, "3 - The difference between the Rural Off-Reserve First Nations rate and the All Other Manitobans Lowest Rural rate was statistically significant (p&lt;0.01).","")</f>
        <v/>
      </c>
    </row>
    <row r="38" spans="2:4" s="2" customFormat="1" x14ac:dyDescent="0.3">
      <c r="B38" s="22" t="s">
        <v>58</v>
      </c>
      <c r="C38" s="23">
        <f>IF(OR(orig_income!$Q$5="s",orig_income!$Q$6="s",orig_income!$Q$7="s",orig_income!$Q$8="s",orig_income!$Q$12="s",orig_income!$Q$13="s",orig_income!$Q$12="s",orig_income!$Q$17="s"),1,0)</f>
        <v>0</v>
      </c>
      <c r="D38" s="24" t="str">
        <f>IF(C38&gt;0,"s – Data suppressed due to small numbers","")</f>
        <v/>
      </c>
    </row>
    <row r="39" spans="2:4" s="2" customFormat="1" ht="58.2" thickBot="1" x14ac:dyDescent="0.35">
      <c r="B39" s="106" t="s">
        <v>75</v>
      </c>
      <c r="C39" s="107"/>
      <c r="D39" s="27" t="str">
        <f>CONCATENATE(D35,CHAR(10),D36,CHAR(10),D37,CHAR(10),D38)</f>
        <v xml:space="preserve">
</v>
      </c>
    </row>
  </sheetData>
  <mergeCells count="4">
    <mergeCell ref="B10:C10"/>
    <mergeCell ref="B20:C20"/>
    <mergeCell ref="B31:C31"/>
    <mergeCell ref="B39:C3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S52"/>
  <sheetViews>
    <sheetView topLeftCell="A7" zoomScale="90" zoomScaleNormal="90" workbookViewId="0">
      <selection activeCell="A10" sqref="A10:XFD20"/>
    </sheetView>
  </sheetViews>
  <sheetFormatPr defaultColWidth="9.109375" defaultRowHeight="14.4" x14ac:dyDescent="0.3"/>
  <cols>
    <col min="1" max="1" width="9.109375" style="28"/>
    <col min="2" max="2" width="21.44140625" style="28" customWidth="1"/>
    <col min="3" max="4" width="26.88671875" style="28" customWidth="1"/>
    <col min="5" max="5" width="8.88671875" style="28" customWidth="1"/>
    <col min="6" max="6" width="8.6640625" style="28" customWidth="1"/>
    <col min="7" max="7" width="18.33203125" style="28" customWidth="1"/>
    <col min="8" max="8" width="16.6640625" style="28" customWidth="1"/>
    <col min="9" max="9" width="19.88671875" style="28" customWidth="1"/>
    <col min="10" max="10" width="13.109375" style="28" customWidth="1"/>
    <col min="11" max="11" width="16.5546875" style="28" customWidth="1"/>
    <col min="12" max="12" width="13.109375" style="28" customWidth="1"/>
    <col min="13" max="16" width="17" style="28" customWidth="1"/>
    <col min="17" max="17" width="26.6640625" style="28" customWidth="1"/>
    <col min="18" max="18" width="27.6640625" style="28" customWidth="1"/>
    <col min="19" max="19" width="29.88671875" style="28" customWidth="1"/>
    <col min="20" max="20" width="20" style="28" customWidth="1"/>
    <col min="21" max="22" width="18" style="28" customWidth="1"/>
    <col min="23" max="31" width="15.33203125" style="28" customWidth="1"/>
    <col min="32" max="16384" width="9.109375" style="28"/>
  </cols>
  <sheetData>
    <row r="1" spans="1:71" s="30" customFormat="1" x14ac:dyDescent="0.3">
      <c r="B1" s="54" t="s">
        <v>129</v>
      </c>
      <c r="E1" s="30" t="s">
        <v>93</v>
      </c>
      <c r="M1" s="30" t="s">
        <v>2</v>
      </c>
      <c r="Q1" s="30" t="s">
        <v>85</v>
      </c>
      <c r="R1" s="30" t="s">
        <v>166</v>
      </c>
      <c r="V1" s="30" t="s">
        <v>86</v>
      </c>
      <c r="Z1" s="30" t="s">
        <v>87</v>
      </c>
    </row>
    <row r="2" spans="1:71" x14ac:dyDescent="0.3">
      <c r="C2" s="30" t="s">
        <v>92</v>
      </c>
      <c r="E2" s="31" t="s">
        <v>1</v>
      </c>
      <c r="F2" s="31"/>
      <c r="G2" s="31" t="s">
        <v>122</v>
      </c>
      <c r="H2" s="31" t="s">
        <v>123</v>
      </c>
      <c r="I2" s="31" t="s">
        <v>124</v>
      </c>
      <c r="J2" s="31" t="s">
        <v>125</v>
      </c>
      <c r="K2" s="31" t="s">
        <v>126</v>
      </c>
      <c r="L2" s="31" t="s">
        <v>40</v>
      </c>
      <c r="R2" s="30" t="s">
        <v>43</v>
      </c>
      <c r="S2" s="30" t="s">
        <v>45</v>
      </c>
      <c r="T2" s="30" t="s">
        <v>68</v>
      </c>
      <c r="U2" s="30" t="s">
        <v>49</v>
      </c>
      <c r="V2" s="30" t="s">
        <v>111</v>
      </c>
      <c r="W2" s="30" t="s">
        <v>121</v>
      </c>
      <c r="X2" s="30" t="s">
        <v>127</v>
      </c>
      <c r="Y2" s="30" t="s">
        <v>128</v>
      </c>
      <c r="Z2" s="30" t="s">
        <v>43</v>
      </c>
      <c r="AA2" s="30" t="s">
        <v>45</v>
      </c>
      <c r="AB2" s="30" t="s">
        <v>68</v>
      </c>
      <c r="AC2" s="30" t="s">
        <v>84</v>
      </c>
      <c r="AX2" s="32"/>
      <c r="AY2" s="32"/>
      <c r="AZ2" s="32"/>
      <c r="BA2" s="32"/>
      <c r="BB2" s="32"/>
      <c r="BC2" s="32"/>
      <c r="BD2" s="32"/>
      <c r="BE2" s="32"/>
      <c r="BF2" s="32"/>
      <c r="BG2" s="32"/>
      <c r="BJ2" s="32"/>
      <c r="BK2" s="32"/>
      <c r="BL2" s="32"/>
      <c r="BM2" s="32"/>
      <c r="BN2" s="32"/>
      <c r="BO2" s="32"/>
      <c r="BP2" s="32"/>
      <c r="BQ2" s="32"/>
      <c r="BR2" s="32"/>
      <c r="BS2" s="32"/>
    </row>
    <row r="3" spans="1:71" x14ac:dyDescent="0.3">
      <c r="G3" s="28" t="str">
        <f>orig_rha!AL4</f>
        <v>FN_ON_sign</v>
      </c>
      <c r="H3" s="28" t="str">
        <f>orig_rha!AM4</f>
        <v>FN_OFF_sign</v>
      </c>
      <c r="I3" s="28" t="str">
        <f>orig_rha!AN4</f>
        <v>FN_sign</v>
      </c>
      <c r="J3" s="28" t="str">
        <f>orig_rha!AO4</f>
        <v>AOMB_sign</v>
      </c>
      <c r="K3" s="28" t="str">
        <f>orig_rha!AP4</f>
        <v>FNvsAOMB_sign</v>
      </c>
      <c r="L3" s="28" t="str">
        <f>orig_rha!AQ4</f>
        <v>ONvsOFF_sign</v>
      </c>
      <c r="M3" s="28" t="str">
        <f>orig_rha!AR4</f>
        <v>FN_ON_suppress</v>
      </c>
      <c r="N3" s="28" t="str">
        <f>orig_rha!AS4</f>
        <v>FN_OFF_suppress</v>
      </c>
      <c r="O3" s="28" t="str">
        <f>orig_rha!AT4</f>
        <v>FN_suppress</v>
      </c>
      <c r="P3" s="28" t="str">
        <f>orig_rha!AU4</f>
        <v>AOMB_suppress</v>
      </c>
      <c r="R3" s="28" t="str">
        <f>orig_rha!$D$4</f>
        <v>FN_ON_crd_rate</v>
      </c>
      <c r="S3" s="28" t="str">
        <f>orig_rha!$K$4</f>
        <v>FN_OFF_crd_rate</v>
      </c>
      <c r="T3" s="28" t="str">
        <f>orig_rha!$R$4</f>
        <v>FN_crd_rate</v>
      </c>
      <c r="U3" s="28" t="str">
        <f>orig_rha!$Y$4</f>
        <v>AOMB_crd_rate</v>
      </c>
      <c r="Z3" s="28" t="str">
        <f>orig_rha!B4</f>
        <v>FN_ON_stillborn</v>
      </c>
      <c r="AA3" s="28" t="str">
        <f>orig_rha!I4</f>
        <v>FN_OFF_stillborn</v>
      </c>
      <c r="AB3" s="28" t="str">
        <f>orig_rha!P4</f>
        <v>FN_stillborn</v>
      </c>
      <c r="AC3" s="28" t="str">
        <f>orig_rha!W4</f>
        <v>AOMB_stillborn</v>
      </c>
    </row>
    <row r="4" spans="1:71" x14ac:dyDescent="0.3">
      <c r="B4" s="28" t="s">
        <v>47</v>
      </c>
      <c r="C4" s="28" t="str">
        <f>CONCATENATE(D4,," ",F4)</f>
        <v>Southern Health-Santé Sud (5)</v>
      </c>
      <c r="D4" s="28" t="s">
        <v>69</v>
      </c>
      <c r="E4" s="28" t="str">
        <f>CONCATENATE("(",G4,",",H4,",",I4,",",J4,",",K4,",",L4,")")</f>
        <v>(,,,,5,)</v>
      </c>
      <c r="F4" s="28" t="str">
        <f>SUBSTITUTE(SUBSTITUTE(SUBSTITUTE(SUBSTITUTE(SUBSTITUTE(SUBSTITUTE(SUBSTITUTE(SUBSTITUTE(SUBSTITUTE(SUBSTITUTE(E4,"(,,,,,,)",""),"(,,,,,)",""),"(,,,,)",""),"(,,,)",""),"(,,","("),",,)",")"),",,,",","),",,",","),",)",")"),"(,","(")</f>
        <v>(5)</v>
      </c>
      <c r="G4" s="28" t="str">
        <f>IF(orig_rha!AL5="c","1","")</f>
        <v/>
      </c>
      <c r="H4" s="28" t="str">
        <f>IF(orig_rha!AM5="d","2","")</f>
        <v/>
      </c>
      <c r="I4" s="28" t="str">
        <f>IF(orig_rha!AN5="e","3","")</f>
        <v/>
      </c>
      <c r="J4" s="28" t="str">
        <f>IF(orig_rha!AO5="f","4","")</f>
        <v/>
      </c>
      <c r="K4" s="28" t="str">
        <f>IF(orig_rha!AP5="b","5","")</f>
        <v>5</v>
      </c>
      <c r="L4" s="28" t="str">
        <f>IF(orig_rha!AQ5="a","6","")</f>
        <v/>
      </c>
      <c r="M4" s="28" t="str">
        <f>orig_rha!AR5</f>
        <v xml:space="preserve"> </v>
      </c>
      <c r="N4" s="28" t="str">
        <f>orig_rha!AS5</f>
        <v>s</v>
      </c>
      <c r="O4" s="28" t="str">
        <f>orig_rha!AT5</f>
        <v xml:space="preserve"> </v>
      </c>
      <c r="P4" s="28" t="str">
        <f>orig_rha!AU5</f>
        <v xml:space="preserve"> </v>
      </c>
      <c r="Q4" s="28" t="str">
        <f t="shared" ref="Q4:Q9" si="0">D4</f>
        <v>Southern Health-Santé Sud</v>
      </c>
      <c r="R4" s="28">
        <f>orig_rha!D5</f>
        <v>15.570934255999999</v>
      </c>
      <c r="S4" s="28" t="str">
        <f>orig_rha!K5</f>
        <v xml:space="preserve"> </v>
      </c>
      <c r="T4" s="28">
        <f>orig_rha!R5</f>
        <v>12.171684816999999</v>
      </c>
      <c r="U4" s="28">
        <f>orig_rha!Y5</f>
        <v>6.1064040912999999</v>
      </c>
      <c r="V4" s="28">
        <f t="shared" ref="V4:V9" si="1">$R$9</f>
        <v>8.9120268242999998</v>
      </c>
      <c r="W4" s="28">
        <f t="shared" ref="W4:W9" si="2">$S$9</f>
        <v>6.7282115474999999</v>
      </c>
      <c r="X4" s="28">
        <f t="shared" ref="X4:X9" si="3">$T$9</f>
        <v>8.124576845</v>
      </c>
      <c r="Y4" s="28">
        <f t="shared" ref="Y4:Y9" si="4">$U$9</f>
        <v>6.1436293932000003</v>
      </c>
      <c r="Z4" s="34">
        <f>IF(M4="s","s",orig_rha!B5)</f>
        <v>18</v>
      </c>
      <c r="AA4" s="34" t="str">
        <f>IF(N4="s","s",orig_rha!I5)</f>
        <v>s</v>
      </c>
      <c r="AB4" s="34">
        <f>IF(O4="s","s",orig_rha!P5)</f>
        <v>19</v>
      </c>
      <c r="AC4" s="34">
        <f>IF(P4="s","s",orig_rha!W5)</f>
        <v>80</v>
      </c>
    </row>
    <row r="5" spans="1:71" x14ac:dyDescent="0.3">
      <c r="C5" s="28" t="str">
        <f t="shared" ref="C5:C9" si="5">CONCATENATE(D5,," ",F5)</f>
        <v xml:space="preserve">Winnipeg RHA </v>
      </c>
      <c r="D5" s="28" t="s">
        <v>70</v>
      </c>
      <c r="E5" s="28" t="str">
        <f t="shared" ref="E5:E9" si="6">CONCATENATE("(",G5,",",H5,",",I5,",",J5,",",K5,",",L5,")")</f>
        <v>(,,,,,)</v>
      </c>
      <c r="F5" s="28" t="str">
        <f t="shared" ref="F5:F9" si="7">SUBSTITUTE(SUBSTITUTE(SUBSTITUTE(SUBSTITUTE(SUBSTITUTE(SUBSTITUTE(SUBSTITUTE(SUBSTITUTE(SUBSTITUTE(SUBSTITUTE(E5,"(,,,,,,)",""),"(,,,,,)",""),"(,,,,)",""),"(,,,)",""),"(,,","("),",,)",")"),",,,",","),",,",","),",)",")"),"(,","(")</f>
        <v/>
      </c>
      <c r="G5" s="28" t="str">
        <f>IF(orig_rha!AL6="c","1","")</f>
        <v/>
      </c>
      <c r="H5" s="28" t="str">
        <f>IF(orig_rha!AM6="d","2","")</f>
        <v/>
      </c>
      <c r="I5" s="28" t="str">
        <f>IF(orig_rha!AN6="e","3","")</f>
        <v/>
      </c>
      <c r="J5" s="28" t="str">
        <f>IF(orig_rha!AO6="f","4","")</f>
        <v/>
      </c>
      <c r="K5" s="28" t="str">
        <f>IF(orig_rha!AP6="b","5","")</f>
        <v/>
      </c>
      <c r="L5" s="28" t="str">
        <f>IF(orig_rha!AQ6="a","6","")</f>
        <v/>
      </c>
      <c r="M5" s="28" t="str">
        <f>orig_rha!AR6</f>
        <v xml:space="preserve"> </v>
      </c>
      <c r="N5" s="28" t="str">
        <f>orig_rha!AS6</f>
        <v xml:space="preserve"> </v>
      </c>
      <c r="O5" s="28" t="str">
        <f>orig_rha!AT6</f>
        <v xml:space="preserve"> </v>
      </c>
      <c r="P5" s="28" t="str">
        <f>orig_rha!AU6</f>
        <v xml:space="preserve"> </v>
      </c>
      <c r="Q5" s="28" t="str">
        <f t="shared" si="0"/>
        <v>Winnipeg RHA</v>
      </c>
      <c r="R5" s="28" t="str">
        <f>orig_rha!D6</f>
        <v xml:space="preserve"> </v>
      </c>
      <c r="S5" s="28">
        <f>orig_rha!K6</f>
        <v>5.8619770850000004</v>
      </c>
      <c r="T5" s="28">
        <f>orig_rha!R6</f>
        <v>5.8619770850000004</v>
      </c>
      <c r="U5" s="28">
        <f>orig_rha!Y6</f>
        <v>5.9583777092999997</v>
      </c>
      <c r="V5" s="28">
        <f t="shared" si="1"/>
        <v>8.9120268242999998</v>
      </c>
      <c r="W5" s="28">
        <f t="shared" si="2"/>
        <v>6.7282115474999999</v>
      </c>
      <c r="X5" s="28">
        <f t="shared" si="3"/>
        <v>8.124576845</v>
      </c>
      <c r="Y5" s="28">
        <f t="shared" si="4"/>
        <v>6.1436293932000003</v>
      </c>
      <c r="Z5" s="34" t="str">
        <f>IF(M5="s","s",orig_rha!B6)</f>
        <v xml:space="preserve"> </v>
      </c>
      <c r="AA5" s="34">
        <f>IF(N5="s","s",orig_rha!I6)</f>
        <v>22</v>
      </c>
      <c r="AB5" s="34">
        <f>IF(O5="s","s",orig_rha!P6)</f>
        <v>22</v>
      </c>
      <c r="AC5" s="34">
        <f>IF(P5="s","s",orig_rha!W6)</f>
        <v>207</v>
      </c>
    </row>
    <row r="6" spans="1:71" x14ac:dyDescent="0.3">
      <c r="C6" s="28" t="str">
        <f t="shared" si="5"/>
        <v xml:space="preserve">Prairie Mountain Health  </v>
      </c>
      <c r="D6" s="28" t="s">
        <v>42</v>
      </c>
      <c r="E6" s="28" t="str">
        <f t="shared" si="6"/>
        <v>(,,,,,)</v>
      </c>
      <c r="F6" s="28" t="str">
        <f t="shared" si="7"/>
        <v/>
      </c>
      <c r="G6" s="28" t="str">
        <f>IF(orig_rha!AL7="c","1","")</f>
        <v/>
      </c>
      <c r="H6" s="28" t="str">
        <f>IF(orig_rha!AM7="d","2","")</f>
        <v/>
      </c>
      <c r="I6" s="28" t="str">
        <f>IF(orig_rha!AN7="e","3","")</f>
        <v/>
      </c>
      <c r="J6" s="28" t="str">
        <f>IF(orig_rha!AO7="f","4","")</f>
        <v/>
      </c>
      <c r="K6" s="28" t="str">
        <f>IF(orig_rha!AP7="b","5","")</f>
        <v/>
      </c>
      <c r="L6" s="28" t="str">
        <f>IF(orig_rha!AQ7="a","6","")</f>
        <v/>
      </c>
      <c r="M6" s="28" t="str">
        <f>orig_rha!AR7</f>
        <v xml:space="preserve"> </v>
      </c>
      <c r="N6" s="28" t="str">
        <f>orig_rha!AS7</f>
        <v xml:space="preserve"> </v>
      </c>
      <c r="O6" s="28" t="str">
        <f>orig_rha!AT7</f>
        <v xml:space="preserve"> </v>
      </c>
      <c r="P6" s="28" t="str">
        <f>orig_rha!AU7</f>
        <v xml:space="preserve"> </v>
      </c>
      <c r="Q6" s="28" t="str">
        <f t="shared" si="0"/>
        <v xml:space="preserve">Prairie Mountain Health </v>
      </c>
      <c r="R6" s="28">
        <f>orig_rha!D7</f>
        <v>9.9367660342999997</v>
      </c>
      <c r="S6" s="28">
        <f>orig_rha!K7</f>
        <v>11.780104712</v>
      </c>
      <c r="T6" s="28">
        <f>orig_rha!R7</f>
        <v>10.689470870999999</v>
      </c>
      <c r="U6" s="28">
        <f>orig_rha!Y7</f>
        <v>7.8134537906999997</v>
      </c>
      <c r="V6" s="28">
        <f t="shared" si="1"/>
        <v>8.9120268242999998</v>
      </c>
      <c r="W6" s="28">
        <f t="shared" si="2"/>
        <v>6.7282115474999999</v>
      </c>
      <c r="X6" s="28">
        <f t="shared" si="3"/>
        <v>8.124576845</v>
      </c>
      <c r="Y6" s="28">
        <f t="shared" si="4"/>
        <v>6.1436293932000003</v>
      </c>
      <c r="Z6" s="34">
        <f>IF(M6="s","s",orig_rha!B7)</f>
        <v>11</v>
      </c>
      <c r="AA6" s="34">
        <f>IF(N6="s","s",orig_rha!I7)</f>
        <v>9</v>
      </c>
      <c r="AB6" s="34">
        <f>IF(O6="s","s",orig_rha!P7)</f>
        <v>20</v>
      </c>
      <c r="AC6" s="34">
        <f>IF(P6="s","s",orig_rha!W7)</f>
        <v>64</v>
      </c>
    </row>
    <row r="7" spans="1:71" x14ac:dyDescent="0.3">
      <c r="C7" s="28" t="str">
        <f t="shared" si="5"/>
        <v>Interlake-Eastern RHA (5)</v>
      </c>
      <c r="D7" s="28" t="s">
        <v>71</v>
      </c>
      <c r="E7" s="28" t="str">
        <f t="shared" si="6"/>
        <v>(,,,,5,)</v>
      </c>
      <c r="F7" s="28" t="str">
        <f t="shared" si="7"/>
        <v>(5)</v>
      </c>
      <c r="G7" s="28" t="str">
        <f>IF(orig_rha!AL8="c","1","")</f>
        <v/>
      </c>
      <c r="H7" s="28" t="str">
        <f>IF(orig_rha!AM8="d","2","")</f>
        <v/>
      </c>
      <c r="I7" s="28" t="str">
        <f>IF(orig_rha!AN8="e","3","")</f>
        <v/>
      </c>
      <c r="J7" s="28" t="str">
        <f>IF(orig_rha!AO8="f","4","")</f>
        <v/>
      </c>
      <c r="K7" s="28" t="str">
        <f>IF(orig_rha!AP8="b","5","")</f>
        <v>5</v>
      </c>
      <c r="L7" s="28" t="str">
        <f>IF(orig_rha!AQ8="a","6","")</f>
        <v/>
      </c>
      <c r="M7" s="28" t="str">
        <f>orig_rha!AR8</f>
        <v xml:space="preserve"> </v>
      </c>
      <c r="N7" s="28" t="str">
        <f>orig_rha!AS8</f>
        <v>s</v>
      </c>
      <c r="O7" s="28" t="str">
        <f>orig_rha!AT8</f>
        <v xml:space="preserve"> </v>
      </c>
      <c r="P7" s="28" t="str">
        <f>orig_rha!AU8</f>
        <v xml:space="preserve"> </v>
      </c>
      <c r="Q7" s="28" t="str">
        <f t="shared" si="0"/>
        <v>Interlake-Eastern RHA</v>
      </c>
      <c r="R7" s="28">
        <f>orig_rha!D8</f>
        <v>9.5764272560000006</v>
      </c>
      <c r="S7" s="28" t="str">
        <f>orig_rha!K8</f>
        <v xml:space="preserve"> </v>
      </c>
      <c r="T7" s="28">
        <f>orig_rha!R8</f>
        <v>9.4064223159000004</v>
      </c>
      <c r="U7" s="28">
        <f>orig_rha!Y8</f>
        <v>3.5624476111000001</v>
      </c>
      <c r="V7" s="28">
        <f t="shared" si="1"/>
        <v>8.9120268242999998</v>
      </c>
      <c r="W7" s="28">
        <f t="shared" si="2"/>
        <v>6.7282115474999999</v>
      </c>
      <c r="X7" s="28">
        <f t="shared" si="3"/>
        <v>8.124576845</v>
      </c>
      <c r="Y7" s="28">
        <f t="shared" si="4"/>
        <v>6.1436293932000003</v>
      </c>
      <c r="Z7" s="34">
        <f>IF(M7="s","s",orig_rha!B8)</f>
        <v>26</v>
      </c>
      <c r="AA7" s="34" t="str">
        <f>IF(N7="s","s",orig_rha!I8)</f>
        <v>s</v>
      </c>
      <c r="AB7" s="34">
        <f>IF(O7="s","s",orig_rha!P8)</f>
        <v>29</v>
      </c>
      <c r="AC7" s="34">
        <f>IF(P7="s","s",orig_rha!W8)</f>
        <v>17</v>
      </c>
    </row>
    <row r="8" spans="1:71" x14ac:dyDescent="0.3">
      <c r="C8" s="28" t="str">
        <f t="shared" si="5"/>
        <v xml:space="preserve">Northern Health Region </v>
      </c>
      <c r="D8" s="28" t="s">
        <v>72</v>
      </c>
      <c r="E8" s="28" t="str">
        <f t="shared" si="6"/>
        <v>(,,,,,)</v>
      </c>
      <c r="F8" s="28" t="str">
        <f t="shared" si="7"/>
        <v/>
      </c>
      <c r="G8" s="28" t="str">
        <f>IF(orig_rha!AL9="c","1","")</f>
        <v/>
      </c>
      <c r="H8" s="28" t="str">
        <f>IF(orig_rha!AM9="d","2","")</f>
        <v/>
      </c>
      <c r="I8" s="28" t="str">
        <f>IF(orig_rha!AN9="e","3","")</f>
        <v/>
      </c>
      <c r="J8" s="28" t="str">
        <f>IF(orig_rha!AO9="f","4","")</f>
        <v/>
      </c>
      <c r="K8" s="28" t="str">
        <f>IF(orig_rha!AP9="b","5","")</f>
        <v/>
      </c>
      <c r="L8" s="28" t="str">
        <f>IF(orig_rha!AQ9="a","6","")</f>
        <v/>
      </c>
      <c r="M8" s="28" t="str">
        <f>orig_rha!AR9</f>
        <v xml:space="preserve"> </v>
      </c>
      <c r="N8" s="28" t="str">
        <f>orig_rha!AS9</f>
        <v xml:space="preserve"> </v>
      </c>
      <c r="O8" s="28" t="str">
        <f>orig_rha!AT9</f>
        <v xml:space="preserve"> </v>
      </c>
      <c r="P8" s="28" t="str">
        <f>orig_rha!AU9</f>
        <v xml:space="preserve"> </v>
      </c>
      <c r="Q8" s="28" t="str">
        <f t="shared" si="0"/>
        <v>Northern Health Region</v>
      </c>
      <c r="R8" s="28">
        <f>orig_rha!D9</f>
        <v>7.2383949646000003</v>
      </c>
      <c r="S8" s="28">
        <f>orig_rha!K9</f>
        <v>6.4575645756000002</v>
      </c>
      <c r="T8" s="28">
        <f>orig_rha!R9</f>
        <v>7.1246135232999999</v>
      </c>
      <c r="U8" s="28">
        <f>orig_rha!Y9</f>
        <v>10.121457489999999</v>
      </c>
      <c r="V8" s="28">
        <f t="shared" si="1"/>
        <v>8.9120268242999998</v>
      </c>
      <c r="W8" s="28">
        <f t="shared" si="2"/>
        <v>6.7282115474999999</v>
      </c>
      <c r="X8" s="28">
        <f t="shared" si="3"/>
        <v>8.124576845</v>
      </c>
      <c r="Y8" s="28">
        <f t="shared" si="4"/>
        <v>6.1436293932000003</v>
      </c>
      <c r="Z8" s="34">
        <f>IF(M8="s","s",orig_rha!B9)</f>
        <v>46</v>
      </c>
      <c r="AA8" s="34">
        <f>IF(N8="s","s",orig_rha!I9)</f>
        <v>7</v>
      </c>
      <c r="AB8" s="34">
        <f>IF(O8="s","s",orig_rha!P9)</f>
        <v>53</v>
      </c>
      <c r="AC8" s="34">
        <f>IF(P8="s","s",orig_rha!W9)</f>
        <v>15</v>
      </c>
    </row>
    <row r="9" spans="1:71" s="33" customFormat="1" ht="15" thickBot="1" x14ac:dyDescent="0.35">
      <c r="B9" s="33" t="s">
        <v>3</v>
      </c>
      <c r="C9" s="33" t="str">
        <f t="shared" si="5"/>
        <v>Manitoba (5)</v>
      </c>
      <c r="D9" s="33" t="s">
        <v>0</v>
      </c>
      <c r="E9" s="33" t="str">
        <f t="shared" si="6"/>
        <v>(,,,,5,)</v>
      </c>
      <c r="F9" s="33" t="str">
        <f t="shared" si="7"/>
        <v>(5)</v>
      </c>
      <c r="G9" s="33" t="str">
        <f>IF(orig_rha!AL11="c","1","")</f>
        <v/>
      </c>
      <c r="H9" s="33" t="str">
        <f>IF(orig_rha!AM11="d","2","")</f>
        <v/>
      </c>
      <c r="I9" s="33" t="str">
        <f>IF(orig_rha!AN11="e","3","")</f>
        <v/>
      </c>
      <c r="J9" s="33" t="str">
        <f>IF(orig_rha!AO11="f","4","")</f>
        <v/>
      </c>
      <c r="K9" s="33" t="str">
        <f>IF(orig_rha!AP11="b","5","")</f>
        <v>5</v>
      </c>
      <c r="L9" s="33" t="str">
        <f>IF(orig_rha!AQ11="a","6","")</f>
        <v/>
      </c>
      <c r="M9" s="33" t="str">
        <f>orig_rha!AR11</f>
        <v xml:space="preserve"> </v>
      </c>
      <c r="N9" s="33" t="str">
        <f>orig_rha!AS11</f>
        <v xml:space="preserve"> </v>
      </c>
      <c r="O9" s="33" t="str">
        <f>orig_rha!AT11</f>
        <v xml:space="preserve"> </v>
      </c>
      <c r="P9" s="33" t="str">
        <f>orig_rha!AU11</f>
        <v xml:space="preserve"> </v>
      </c>
      <c r="Q9" s="33" t="str">
        <f t="shared" si="0"/>
        <v>Manitoba</v>
      </c>
      <c r="R9" s="33">
        <f>orig_rha!D11</f>
        <v>8.9120268242999998</v>
      </c>
      <c r="S9" s="33">
        <f>orig_rha!K11</f>
        <v>6.7282115474999999</v>
      </c>
      <c r="T9" s="33">
        <f>orig_rha!R11</f>
        <v>8.124576845</v>
      </c>
      <c r="U9" s="33">
        <f>orig_rha!Y11</f>
        <v>6.1436293932000003</v>
      </c>
      <c r="V9" s="33">
        <f t="shared" si="1"/>
        <v>8.9120268242999998</v>
      </c>
      <c r="W9" s="33">
        <f t="shared" si="2"/>
        <v>6.7282115474999999</v>
      </c>
      <c r="X9" s="33">
        <f t="shared" si="3"/>
        <v>8.124576845</v>
      </c>
      <c r="Y9" s="33">
        <f t="shared" si="4"/>
        <v>6.1436293932000003</v>
      </c>
      <c r="Z9" s="33">
        <f>IF(M9="s","s",orig_rha!B11)</f>
        <v>101</v>
      </c>
      <c r="AA9" s="33">
        <f>IF(N9="s","s",orig_rha!I11)</f>
        <v>43</v>
      </c>
      <c r="AB9" s="33">
        <f>IF(O9="s","s",orig_rha!P11)</f>
        <v>144</v>
      </c>
      <c r="AC9" s="33">
        <f>IF(P9="s","s",orig_rha!W11)</f>
        <v>383</v>
      </c>
    </row>
    <row r="10" spans="1:71" x14ac:dyDescent="0.3">
      <c r="K10" s="30" t="s">
        <v>116</v>
      </c>
      <c r="P10" s="30"/>
    </row>
    <row r="11" spans="1:71" x14ac:dyDescent="0.3">
      <c r="B11" s="55" t="s">
        <v>118</v>
      </c>
      <c r="C11" s="56"/>
      <c r="E11" s="30" t="s">
        <v>93</v>
      </c>
      <c r="F11" s="30"/>
      <c r="G11" s="30"/>
      <c r="H11" s="30"/>
      <c r="K11" s="30" t="s">
        <v>89</v>
      </c>
      <c r="L11" s="30" t="s">
        <v>88</v>
      </c>
      <c r="M11" s="30" t="s">
        <v>46</v>
      </c>
      <c r="N11" s="28" t="s">
        <v>94</v>
      </c>
      <c r="O11" s="28" t="s">
        <v>94</v>
      </c>
      <c r="P11" s="67"/>
      <c r="Q11" s="67"/>
      <c r="R11" s="30"/>
      <c r="S11" s="30"/>
    </row>
    <row r="12" spans="1:71" s="35" customFormat="1" ht="43.2" x14ac:dyDescent="0.3">
      <c r="C12" s="65" t="s">
        <v>92</v>
      </c>
      <c r="E12" s="66" t="s">
        <v>1</v>
      </c>
      <c r="F12" s="66"/>
      <c r="G12" s="66" t="s">
        <v>194</v>
      </c>
      <c r="H12" s="66" t="s">
        <v>167</v>
      </c>
      <c r="I12" s="66" t="s">
        <v>187</v>
      </c>
      <c r="J12" s="65" t="s">
        <v>2</v>
      </c>
      <c r="K12" s="65" t="s">
        <v>186</v>
      </c>
      <c r="L12" s="65" t="s">
        <v>185</v>
      </c>
      <c r="N12" s="65"/>
      <c r="P12" s="68"/>
      <c r="Q12" s="68"/>
      <c r="S12" s="65"/>
    </row>
    <row r="13" spans="1:71" x14ac:dyDescent="0.3">
      <c r="A13" s="28">
        <v>1</v>
      </c>
      <c r="B13" s="28" t="s">
        <v>119</v>
      </c>
      <c r="C13" s="28" t="str">
        <f t="shared" ref="C13:C21" si="8">CONCATENATE(D13,," ",F13)</f>
        <v xml:space="preserve">Interlake Reserves (IRTC) </v>
      </c>
      <c r="D13" s="28" t="s">
        <v>81</v>
      </c>
      <c r="E13" s="28" t="str">
        <f t="shared" ref="E13:E21" si="9">CONCATENATE("(",H13,",",H24,",",I13,",",I24,")")</f>
        <v>(,,,)</v>
      </c>
      <c r="F13" s="28" t="str">
        <f t="shared" ref="F13:F21" si="10">SUBSTITUTE(SUBSTITUTE(SUBSTITUTE(SUBSTITUTE(SUBSTITUTE(SUBSTITUTE(SUBSTITUTE(E13,"(,,,)",""),",,",","),"(,,)",""),"(,,","("),",,)",")"),"(,","("),",)",")")</f>
        <v/>
      </c>
      <c r="G13" s="28" t="str">
        <f>orig_tribal!K5</f>
        <v xml:space="preserve"> </v>
      </c>
      <c r="H13" s="28" t="str">
        <f>IF(orig_tribal!U5="b","†","")</f>
        <v/>
      </c>
      <c r="I13" s="28" t="str">
        <f>IF(orig_tribal!V5="d","§","")</f>
        <v/>
      </c>
      <c r="J13" s="28" t="str">
        <f>IF(orig_tribal!Y5="s", "s", "")</f>
        <v/>
      </c>
      <c r="K13" s="28">
        <f>orig_tribal!D5</f>
        <v>10.215664018</v>
      </c>
      <c r="L13" s="28">
        <f t="shared" ref="L13:L21" si="11">$K$23</f>
        <v>8.9120268242999998</v>
      </c>
      <c r="M13" s="28">
        <f>orig_tribal!B5</f>
        <v>9</v>
      </c>
      <c r="P13" s="32"/>
      <c r="Q13" s="32"/>
    </row>
    <row r="14" spans="1:71" x14ac:dyDescent="0.3">
      <c r="A14" s="28">
        <v>2</v>
      </c>
      <c r="C14" s="28" t="str">
        <f t="shared" si="8"/>
        <v xml:space="preserve">West Region (WRTC) </v>
      </c>
      <c r="D14" s="28" t="s">
        <v>83</v>
      </c>
      <c r="E14" s="28" t="str">
        <f t="shared" si="9"/>
        <v>(,,,)</v>
      </c>
      <c r="F14" s="28" t="str">
        <f t="shared" si="10"/>
        <v/>
      </c>
      <c r="G14" s="28" t="str">
        <f>orig_tribal!K10</f>
        <v xml:space="preserve"> </v>
      </c>
      <c r="H14" s="28" t="str">
        <f>IF(orig_tribal!U10="b","†","")</f>
        <v/>
      </c>
      <c r="I14" s="28" t="str">
        <f>IF(orig_tribal!V10="d","§","")</f>
        <v/>
      </c>
      <c r="J14" s="28" t="str">
        <f>IF(orig_tribal!Y10="s", "s", "")</f>
        <v/>
      </c>
      <c r="K14" s="28">
        <f>orig_tribal!D10</f>
        <v>13.677811549999999</v>
      </c>
      <c r="L14" s="28">
        <f t="shared" si="11"/>
        <v>8.9120268242999998</v>
      </c>
      <c r="M14" s="28">
        <f>orig_tribal!B10</f>
        <v>9</v>
      </c>
      <c r="P14" s="32"/>
      <c r="Q14" s="32"/>
    </row>
    <row r="15" spans="1:71" x14ac:dyDescent="0.3">
      <c r="A15" s="28">
        <v>3</v>
      </c>
      <c r="B15" s="35"/>
      <c r="C15" s="28" t="str">
        <f t="shared" si="8"/>
        <v xml:space="preserve">Independent-North </v>
      </c>
      <c r="D15" s="28" t="s">
        <v>5</v>
      </c>
      <c r="E15" s="28" t="str">
        <f t="shared" si="9"/>
        <v>(,,,)</v>
      </c>
      <c r="F15" s="28" t="str">
        <f t="shared" si="10"/>
        <v/>
      </c>
      <c r="G15" s="28">
        <f>orig_tribal!K8</f>
        <v>1</v>
      </c>
      <c r="H15" s="28" t="str">
        <f>IF(orig_tribal!U8="b","†","")</f>
        <v/>
      </c>
      <c r="I15" s="28" t="str">
        <f>IF(orig_tribal!V8="d","§","")</f>
        <v/>
      </c>
      <c r="J15" s="28" t="str">
        <f>IF(orig_tribal!Y8="s", "s", "")</f>
        <v/>
      </c>
      <c r="K15" s="28">
        <f>orig_tribal!D8</f>
        <v>6.3398140320999996</v>
      </c>
      <c r="L15" s="28">
        <f t="shared" si="11"/>
        <v>8.9120268242999998</v>
      </c>
      <c r="M15" s="28">
        <f>orig_tribal!B8</f>
        <v>15</v>
      </c>
      <c r="P15" s="32"/>
      <c r="Q15" s="32"/>
    </row>
    <row r="16" spans="1:71" x14ac:dyDescent="0.3">
      <c r="A16" s="28">
        <v>4</v>
      </c>
      <c r="B16" s="35"/>
      <c r="C16" s="28" t="str">
        <f t="shared" si="8"/>
        <v xml:space="preserve">Swampy Cree (SCTC) </v>
      </c>
      <c r="D16" s="28" t="s">
        <v>80</v>
      </c>
      <c r="E16" s="28" t="str">
        <f t="shared" si="9"/>
        <v>(,,,)</v>
      </c>
      <c r="F16" s="28" t="str">
        <f t="shared" si="10"/>
        <v/>
      </c>
      <c r="G16" s="28" t="str">
        <f>orig_tribal!K6</f>
        <v xml:space="preserve"> </v>
      </c>
      <c r="H16" s="28" t="str">
        <f>IF(orig_tribal!U6="b","†","")</f>
        <v/>
      </c>
      <c r="I16" s="28" t="str">
        <f>IF(orig_tribal!V6="d","§","")</f>
        <v/>
      </c>
      <c r="J16" s="28" t="str">
        <f>IF(orig_tribal!Y6="s", "s", "")</f>
        <v>s</v>
      </c>
      <c r="K16" s="28" t="str">
        <f>orig_tribal!D6</f>
        <v xml:space="preserve"> </v>
      </c>
      <c r="L16" s="28">
        <f t="shared" si="11"/>
        <v>8.9120268242999998</v>
      </c>
      <c r="M16" s="28" t="str">
        <f>orig_tribal!B6</f>
        <v xml:space="preserve"> </v>
      </c>
      <c r="P16" s="32"/>
      <c r="Q16" s="32"/>
    </row>
    <row r="17" spans="1:17" x14ac:dyDescent="0.3">
      <c r="A17" s="28">
        <v>5</v>
      </c>
      <c r="C17" s="28" t="str">
        <f t="shared" si="8"/>
        <v xml:space="preserve">Keewatin (KTC) </v>
      </c>
      <c r="D17" s="28" t="s">
        <v>78</v>
      </c>
      <c r="E17" s="28" t="str">
        <f t="shared" si="9"/>
        <v>(,,,)</v>
      </c>
      <c r="F17" s="28" t="str">
        <f t="shared" si="10"/>
        <v/>
      </c>
      <c r="G17" s="28" t="str">
        <f>orig_tribal!K7</f>
        <v xml:space="preserve"> </v>
      </c>
      <c r="H17" s="28" t="str">
        <f>IF(orig_tribal!U7="b","†","")</f>
        <v/>
      </c>
      <c r="I17" s="28" t="str">
        <f>IF(orig_tribal!V7="d","§","")</f>
        <v/>
      </c>
      <c r="J17" s="28" t="str">
        <f>IF(orig_tribal!Y7="s", "s", "")</f>
        <v/>
      </c>
      <c r="K17" s="28">
        <f>orig_tribal!D7</f>
        <v>9.8360655737999991</v>
      </c>
      <c r="L17" s="28">
        <f t="shared" si="11"/>
        <v>8.9120268242999998</v>
      </c>
      <c r="M17" s="28">
        <f>orig_tribal!B7</f>
        <v>15</v>
      </c>
      <c r="P17" s="32"/>
      <c r="Q17" s="32"/>
    </row>
    <row r="18" spans="1:17" x14ac:dyDescent="0.3">
      <c r="A18" s="28">
        <v>6</v>
      </c>
      <c r="B18" s="35"/>
      <c r="C18" s="28" t="str">
        <f t="shared" si="8"/>
        <v xml:space="preserve">Independent-South </v>
      </c>
      <c r="D18" s="28" t="s">
        <v>6</v>
      </c>
      <c r="E18" s="28" t="str">
        <f t="shared" si="9"/>
        <v>(,,,)</v>
      </c>
      <c r="F18" s="28" t="str">
        <f t="shared" si="10"/>
        <v/>
      </c>
      <c r="G18" s="28" t="str">
        <f>orig_tribal!K9</f>
        <v xml:space="preserve"> </v>
      </c>
      <c r="H18" s="28" t="str">
        <f>IF(orig_tribal!U9="b","†","")</f>
        <v/>
      </c>
      <c r="I18" s="28" t="str">
        <f>IF(orig_tribal!V9="d","§","")</f>
        <v/>
      </c>
      <c r="J18" s="28" t="str">
        <f>IF(orig_tribal!Y9="s", "s", "")</f>
        <v/>
      </c>
      <c r="K18" s="28">
        <f>orig_tribal!D9</f>
        <v>10.698552549</v>
      </c>
      <c r="L18" s="28">
        <f t="shared" si="11"/>
        <v>8.9120268242999998</v>
      </c>
      <c r="M18" s="28">
        <f>orig_tribal!B9</f>
        <v>17</v>
      </c>
      <c r="P18" s="32"/>
      <c r="Q18" s="32"/>
    </row>
    <row r="19" spans="1:17" x14ac:dyDescent="0.3">
      <c r="A19" s="28">
        <v>7</v>
      </c>
      <c r="B19" s="35"/>
      <c r="C19" s="28" t="str">
        <f t="shared" si="8"/>
        <v xml:space="preserve">Dakota Ojibway TC (DOTC) </v>
      </c>
      <c r="D19" s="28" t="s">
        <v>82</v>
      </c>
      <c r="E19" s="28" t="str">
        <f t="shared" si="9"/>
        <v>(,,,)</v>
      </c>
      <c r="F19" s="28" t="str">
        <f t="shared" si="10"/>
        <v/>
      </c>
      <c r="G19" s="28" t="str">
        <f>orig_tribal!K13</f>
        <v xml:space="preserve"> </v>
      </c>
      <c r="H19" s="28" t="str">
        <f>IF(orig_tribal!U13="b","†","")</f>
        <v/>
      </c>
      <c r="I19" s="28" t="str">
        <f>IF(orig_tribal!V13="d","§","")</f>
        <v/>
      </c>
      <c r="J19" s="28" t="str">
        <f>IF(orig_tribal!Y13="s", "s", "")</f>
        <v/>
      </c>
      <c r="K19" s="28">
        <f>orig_tribal!D13</f>
        <v>9.0909090909000003</v>
      </c>
      <c r="L19" s="28">
        <f t="shared" si="11"/>
        <v>8.9120268242999998</v>
      </c>
      <c r="M19" s="28">
        <f>orig_tribal!B13</f>
        <v>7</v>
      </c>
      <c r="P19" s="32"/>
      <c r="Q19" s="32"/>
    </row>
    <row r="20" spans="1:17" x14ac:dyDescent="0.3">
      <c r="A20" s="28">
        <v>8</v>
      </c>
      <c r="B20" s="35"/>
      <c r="C20" s="28" t="str">
        <f t="shared" si="8"/>
        <v xml:space="preserve">Southeast (SERDC) </v>
      </c>
      <c r="D20" s="28" t="s">
        <v>117</v>
      </c>
      <c r="E20" s="28" t="str">
        <f t="shared" si="9"/>
        <v>(,,,)</v>
      </c>
      <c r="F20" s="28" t="str">
        <f t="shared" si="10"/>
        <v/>
      </c>
      <c r="G20" s="28" t="str">
        <f>orig_tribal!K12</f>
        <v xml:space="preserve"> </v>
      </c>
      <c r="H20" s="28" t="str">
        <f>IF(orig_tribal!U12="b","†","")</f>
        <v/>
      </c>
      <c r="I20" s="28" t="str">
        <f>IF(orig_tribal!V12="d","§","")</f>
        <v/>
      </c>
      <c r="J20" s="28" t="str">
        <f>IF(orig_tribal!Y12="s", "s", "")</f>
        <v/>
      </c>
      <c r="K20" s="28">
        <f>orig_tribal!D12</f>
        <v>12.514220705</v>
      </c>
      <c r="L20" s="28">
        <f t="shared" si="11"/>
        <v>8.9120268242999998</v>
      </c>
      <c r="M20" s="28">
        <f>orig_tribal!B12</f>
        <v>11</v>
      </c>
      <c r="P20" s="32"/>
      <c r="Q20" s="32"/>
    </row>
    <row r="21" spans="1:17" x14ac:dyDescent="0.3">
      <c r="A21" s="28">
        <v>9</v>
      </c>
      <c r="B21" s="35"/>
      <c r="C21" s="28" t="str">
        <f t="shared" si="8"/>
        <v xml:space="preserve">Island Lake (ILTC) </v>
      </c>
      <c r="D21" s="28" t="s">
        <v>79</v>
      </c>
      <c r="E21" s="28" t="str">
        <f t="shared" si="9"/>
        <v>(,,,)</v>
      </c>
      <c r="F21" s="28" t="str">
        <f t="shared" si="10"/>
        <v/>
      </c>
      <c r="G21" s="28" t="str">
        <f>orig_tribal!K11</f>
        <v xml:space="preserve"> </v>
      </c>
      <c r="H21" s="28" t="str">
        <f>IF(orig_tribal!U11="b","†","")</f>
        <v/>
      </c>
      <c r="I21" s="28" t="str">
        <f>IF(orig_tribal!V11="d","§","")</f>
        <v/>
      </c>
      <c r="J21" s="28" t="str">
        <f>IF(orig_tribal!Y11="s", "s", "")</f>
        <v/>
      </c>
      <c r="K21" s="28">
        <f>orig_tribal!D11</f>
        <v>8.0375083723999996</v>
      </c>
      <c r="L21" s="28">
        <f t="shared" si="11"/>
        <v>8.9120268242999998</v>
      </c>
      <c r="M21" s="28">
        <f>orig_tribal!B11</f>
        <v>12</v>
      </c>
      <c r="P21" s="32"/>
      <c r="Q21" s="32"/>
    </row>
    <row r="22" spans="1:17" x14ac:dyDescent="0.3">
      <c r="B22" s="28" t="s">
        <v>188</v>
      </c>
      <c r="C22" s="28" t="str">
        <f t="shared" ref="C22" si="12">CONCATENATE(D22,," ",F22)</f>
        <v xml:space="preserve">Non-affiliated </v>
      </c>
      <c r="D22" s="28" t="s">
        <v>48</v>
      </c>
      <c r="E22" s="28" t="str">
        <f t="shared" ref="E22" si="13">CONCATENATE("(",H22,",",H33,",",I22,",",I33,")")</f>
        <v>(,,,)</v>
      </c>
      <c r="F22" s="28" t="str">
        <f t="shared" ref="F22" si="14">SUBSTITUTE(SUBSTITUTE(SUBSTITUTE(SUBSTITUTE(SUBSTITUTE(SUBSTITUTE(SUBSTITUTE(E22,"(,,,)",""),",,",","),"(,,)",""),"(,,","("),",,)",")"),"(,","("),",)",")")</f>
        <v/>
      </c>
      <c r="G22" s="28" t="str">
        <f>orig_tribal!K14</f>
        <v xml:space="preserve"> </v>
      </c>
      <c r="H22" s="28" t="str">
        <f>IF(orig_tribal!U14="b","†","")</f>
        <v/>
      </c>
      <c r="I22" s="28" t="str">
        <f>IF(orig_tribal!V14="d","§","")</f>
        <v/>
      </c>
      <c r="J22" s="28" t="str">
        <f>IF(orig_tribal!Y14="s", "s", "")</f>
        <v>s</v>
      </c>
      <c r="K22" s="28" t="str">
        <f>orig_tribal!D14</f>
        <v xml:space="preserve"> </v>
      </c>
      <c r="L22" s="28">
        <f t="shared" ref="L22:L23" si="15">$K$23</f>
        <v>8.9120268242999998</v>
      </c>
      <c r="M22" s="28" t="str">
        <f>orig_tribal!B14</f>
        <v xml:space="preserve"> </v>
      </c>
      <c r="P22" s="32"/>
      <c r="Q22" s="32"/>
    </row>
    <row r="23" spans="1:17" s="33" customFormat="1" ht="15" thickBot="1" x14ac:dyDescent="0.35">
      <c r="B23" s="33" t="s">
        <v>188</v>
      </c>
      <c r="D23" s="33" t="s">
        <v>111</v>
      </c>
      <c r="E23" s="91"/>
      <c r="F23" s="91"/>
      <c r="G23" s="91"/>
      <c r="H23" s="91"/>
      <c r="I23" s="91"/>
      <c r="J23" s="91"/>
      <c r="K23" s="33">
        <f>orig_tribal!D15</f>
        <v>8.9120268242999998</v>
      </c>
      <c r="L23" s="33">
        <f t="shared" si="15"/>
        <v>8.9120268242999998</v>
      </c>
      <c r="M23" s="33">
        <f>orig_tribal!B15</f>
        <v>101</v>
      </c>
      <c r="P23" s="38"/>
      <c r="Q23" s="38"/>
    </row>
    <row r="24" spans="1:17" x14ac:dyDescent="0.3">
      <c r="A24" s="28">
        <v>1</v>
      </c>
      <c r="D24" s="28" t="s">
        <v>81</v>
      </c>
      <c r="E24" s="92"/>
      <c r="F24" s="92"/>
      <c r="G24" s="28" t="str">
        <f>orig_tribal!K16</f>
        <v xml:space="preserve"> </v>
      </c>
      <c r="H24" s="28" t="str">
        <f>IF(orig_tribal!U16="b","‡","")</f>
        <v/>
      </c>
      <c r="I24" s="96"/>
      <c r="J24" s="28" t="str">
        <f>IF(orig_tribal!Y16="s", "s", "")</f>
        <v/>
      </c>
      <c r="K24" s="28">
        <f>orig_tribal!D16</f>
        <v>7.8431372549000002</v>
      </c>
      <c r="L24" s="28">
        <f t="shared" ref="L24:L32" si="16">$K$34</f>
        <v>7.0600100857000001</v>
      </c>
      <c r="M24" s="28">
        <f>orig_tribal!B16</f>
        <v>6</v>
      </c>
      <c r="P24" s="32"/>
      <c r="Q24" s="32"/>
    </row>
    <row r="25" spans="1:17" x14ac:dyDescent="0.3">
      <c r="A25" s="28">
        <v>2</v>
      </c>
      <c r="D25" s="28" t="s">
        <v>83</v>
      </c>
      <c r="E25" s="92"/>
      <c r="F25" s="92"/>
      <c r="G25" s="28" t="str">
        <f>orig_tribal!K21</f>
        <v xml:space="preserve"> </v>
      </c>
      <c r="H25" s="28" t="str">
        <f>IF(orig_tribal!U21="b","‡","")</f>
        <v/>
      </c>
      <c r="I25" s="97"/>
      <c r="J25" s="28" t="str">
        <f>IF(orig_tribal!Y21="s", "s", "")</f>
        <v/>
      </c>
      <c r="K25" s="28">
        <f>orig_tribal!D21</f>
        <v>13.157894736999999</v>
      </c>
      <c r="L25" s="28">
        <f t="shared" si="16"/>
        <v>7.0600100857000001</v>
      </c>
      <c r="M25" s="28">
        <f>orig_tribal!B21</f>
        <v>8</v>
      </c>
      <c r="P25" s="32"/>
      <c r="Q25" s="32"/>
    </row>
    <row r="26" spans="1:17" x14ac:dyDescent="0.3">
      <c r="A26" s="28">
        <v>3</v>
      </c>
      <c r="B26" s="35"/>
      <c r="D26" s="28" t="s">
        <v>5</v>
      </c>
      <c r="E26" s="92"/>
      <c r="F26" s="92"/>
      <c r="G26" s="28" t="str">
        <f>orig_tribal!K19</f>
        <v xml:space="preserve"> </v>
      </c>
      <c r="H26" s="28" t="str">
        <f>IF(orig_tribal!U19="b","‡","")</f>
        <v/>
      </c>
      <c r="I26" s="97"/>
      <c r="J26" s="28" t="str">
        <f>IF(orig_tribal!Y19="s", "s", "")</f>
        <v/>
      </c>
      <c r="K26" s="28">
        <f>orig_tribal!D19</f>
        <v>8.1716036772000002</v>
      </c>
      <c r="L26" s="28">
        <f t="shared" si="16"/>
        <v>7.0600100857000001</v>
      </c>
      <c r="M26" s="28">
        <f>orig_tribal!B19</f>
        <v>8</v>
      </c>
      <c r="P26" s="32"/>
      <c r="Q26" s="32"/>
    </row>
    <row r="27" spans="1:17" x14ac:dyDescent="0.3">
      <c r="A27" s="28">
        <v>4</v>
      </c>
      <c r="B27" s="35"/>
      <c r="D27" s="28" t="s">
        <v>80</v>
      </c>
      <c r="E27" s="92"/>
      <c r="F27" s="92"/>
      <c r="G27" s="28" t="str">
        <f>orig_tribal!K17</f>
        <v xml:space="preserve"> </v>
      </c>
      <c r="H27" s="28" t="str">
        <f>IF(orig_tribal!U17="b","‡","")</f>
        <v/>
      </c>
      <c r="I27" s="97"/>
      <c r="J27" s="28" t="str">
        <f>IF(orig_tribal!Y17="s", "s", "")</f>
        <v>s</v>
      </c>
      <c r="K27" s="28" t="str">
        <f>orig_tribal!D17</f>
        <v xml:space="preserve"> </v>
      </c>
      <c r="L27" s="28">
        <f t="shared" si="16"/>
        <v>7.0600100857000001</v>
      </c>
      <c r="M27" s="28" t="str">
        <f>orig_tribal!B17</f>
        <v xml:space="preserve"> </v>
      </c>
      <c r="P27" s="32"/>
      <c r="Q27" s="32"/>
    </row>
    <row r="28" spans="1:17" x14ac:dyDescent="0.3">
      <c r="A28" s="28">
        <v>5</v>
      </c>
      <c r="D28" s="28" t="s">
        <v>78</v>
      </c>
      <c r="E28" s="92"/>
      <c r="F28" s="92"/>
      <c r="G28" s="28" t="str">
        <f>orig_tribal!K18</f>
        <v xml:space="preserve"> </v>
      </c>
      <c r="H28" s="28" t="str">
        <f>IF(orig_tribal!U18="b","‡","")</f>
        <v/>
      </c>
      <c r="I28" s="97"/>
      <c r="J28" s="28" t="str">
        <f>IF(orig_tribal!Y18="s", "s", "")</f>
        <v>s</v>
      </c>
      <c r="K28" s="28" t="str">
        <f>orig_tribal!D18</f>
        <v xml:space="preserve"> </v>
      </c>
      <c r="L28" s="28">
        <f t="shared" si="16"/>
        <v>7.0600100857000001</v>
      </c>
      <c r="M28" s="28" t="str">
        <f>orig_tribal!B18</f>
        <v xml:space="preserve"> </v>
      </c>
      <c r="P28" s="32"/>
      <c r="Q28" s="32"/>
    </row>
    <row r="29" spans="1:17" x14ac:dyDescent="0.3">
      <c r="A29" s="28">
        <v>6</v>
      </c>
      <c r="B29" s="69"/>
      <c r="D29" s="28" t="s">
        <v>6</v>
      </c>
      <c r="E29" s="92"/>
      <c r="F29" s="92"/>
      <c r="G29" s="28">
        <f>orig_tribal!K20</f>
        <v>1</v>
      </c>
      <c r="H29" s="28" t="str">
        <f>IF(orig_tribal!U20="b","‡","")</f>
        <v/>
      </c>
      <c r="I29" s="97"/>
      <c r="J29" s="28" t="str">
        <f>IF(orig_tribal!Y20="s", "s", "")</f>
        <v/>
      </c>
      <c r="K29" s="28">
        <f>orig_tribal!D20</f>
        <v>6.4575645756000002</v>
      </c>
      <c r="L29" s="28">
        <f t="shared" si="16"/>
        <v>7.0600100857000001</v>
      </c>
      <c r="M29" s="28">
        <f>orig_tribal!B20</f>
        <v>7</v>
      </c>
      <c r="P29" s="32"/>
      <c r="Q29" s="32"/>
    </row>
    <row r="30" spans="1:17" x14ac:dyDescent="0.3">
      <c r="A30" s="28">
        <v>7</v>
      </c>
      <c r="B30" s="35"/>
      <c r="D30" s="28" t="s">
        <v>82</v>
      </c>
      <c r="E30" s="92"/>
      <c r="F30" s="92"/>
      <c r="G30" s="28" t="str">
        <f>orig_tribal!K24</f>
        <v xml:space="preserve"> </v>
      </c>
      <c r="H30" s="28" t="str">
        <f>IF(orig_tribal!U24="b","‡","")</f>
        <v/>
      </c>
      <c r="I30" s="97"/>
      <c r="J30" s="28" t="str">
        <f>IF(orig_tribal!Y24="s", "s", "")</f>
        <v>s</v>
      </c>
      <c r="K30" s="28" t="str">
        <f>orig_tribal!D24</f>
        <v xml:space="preserve"> </v>
      </c>
      <c r="L30" s="28">
        <f t="shared" si="16"/>
        <v>7.0600100857000001</v>
      </c>
      <c r="M30" s="28" t="str">
        <f>orig_tribal!B24</f>
        <v xml:space="preserve"> </v>
      </c>
      <c r="P30" s="32"/>
      <c r="Q30" s="32"/>
    </row>
    <row r="31" spans="1:17" x14ac:dyDescent="0.3">
      <c r="A31" s="28">
        <v>8</v>
      </c>
      <c r="B31" s="35"/>
      <c r="D31" s="28" t="s">
        <v>117</v>
      </c>
      <c r="E31" s="92"/>
      <c r="F31" s="92"/>
      <c r="G31" s="28" t="str">
        <f>orig_tribal!K23</f>
        <v xml:space="preserve"> </v>
      </c>
      <c r="H31" s="28" t="str">
        <f>IF(orig_tribal!U23="b","‡","")</f>
        <v/>
      </c>
      <c r="I31" s="97"/>
      <c r="J31" s="28" t="str">
        <f>IF(orig_tribal!Y23="s", "s", "")</f>
        <v>s</v>
      </c>
      <c r="K31" s="28" t="str">
        <f>orig_tribal!D23</f>
        <v xml:space="preserve"> </v>
      </c>
      <c r="L31" s="28">
        <f t="shared" si="16"/>
        <v>7.0600100857000001</v>
      </c>
      <c r="M31" s="28" t="str">
        <f>orig_tribal!B23</f>
        <v xml:space="preserve"> </v>
      </c>
      <c r="P31" s="32"/>
      <c r="Q31" s="32"/>
    </row>
    <row r="32" spans="1:17" x14ac:dyDescent="0.3">
      <c r="A32" s="28">
        <v>9</v>
      </c>
      <c r="B32" s="35"/>
      <c r="D32" s="28" t="s">
        <v>79</v>
      </c>
      <c r="E32" s="92"/>
      <c r="F32" s="92"/>
      <c r="G32" s="28" t="str">
        <f>orig_tribal!K22</f>
        <v xml:space="preserve"> </v>
      </c>
      <c r="H32" s="28" t="str">
        <f>IF(orig_tribal!U22="b","‡","")</f>
        <v/>
      </c>
      <c r="I32" s="97"/>
      <c r="J32" s="28" t="str">
        <f>IF(orig_tribal!Y22="s", "s", "")</f>
        <v>s</v>
      </c>
      <c r="K32" s="28" t="str">
        <f>orig_tribal!D22</f>
        <v xml:space="preserve"> </v>
      </c>
      <c r="L32" s="28">
        <f t="shared" si="16"/>
        <v>7.0600100857000001</v>
      </c>
      <c r="M32" s="28" t="str">
        <f>orig_tribal!B22</f>
        <v xml:space="preserve"> </v>
      </c>
      <c r="P32" s="32"/>
      <c r="Q32" s="32"/>
    </row>
    <row r="33" spans="2:17" x14ac:dyDescent="0.3">
      <c r="B33" s="28" t="s">
        <v>188</v>
      </c>
      <c r="D33" s="28" t="s">
        <v>48</v>
      </c>
      <c r="E33" s="92"/>
      <c r="F33" s="92"/>
      <c r="G33" s="28" t="str">
        <f>orig_tribal!K25</f>
        <v xml:space="preserve"> </v>
      </c>
      <c r="H33" s="28" t="str">
        <f>IF(orig_tribal!U25="b","‡","")</f>
        <v/>
      </c>
      <c r="I33" s="97"/>
      <c r="J33" s="28" t="str">
        <f>IF(orig_tribal!Y25="s", "s", "")</f>
        <v/>
      </c>
      <c r="K33" s="28">
        <f>orig_tribal!D25</f>
        <v>2.5136022000000001E-8</v>
      </c>
      <c r="L33" s="28">
        <f t="shared" ref="L33:L34" si="17">$K$34</f>
        <v>7.0600100857000001</v>
      </c>
      <c r="M33" s="28">
        <f>orig_tribal!B25</f>
        <v>0</v>
      </c>
      <c r="P33" s="32"/>
      <c r="Q33" s="32"/>
    </row>
    <row r="34" spans="2:17" s="33" customFormat="1" ht="15" thickBot="1" x14ac:dyDescent="0.35">
      <c r="B34" s="33" t="s">
        <v>188</v>
      </c>
      <c r="D34" s="33" t="s">
        <v>121</v>
      </c>
      <c r="E34" s="91"/>
      <c r="F34" s="91"/>
      <c r="G34" s="91"/>
      <c r="H34" s="91"/>
      <c r="I34" s="98"/>
      <c r="J34" s="91"/>
      <c r="K34" s="33">
        <f>orig_tribal!D26</f>
        <v>7.0600100857000001</v>
      </c>
      <c r="L34" s="33">
        <f t="shared" si="17"/>
        <v>7.0600100857000001</v>
      </c>
      <c r="M34" s="33">
        <f>orig_tribal!B26</f>
        <v>42</v>
      </c>
      <c r="P34" s="38"/>
      <c r="Q34" s="38"/>
    </row>
    <row r="36" spans="2:17" x14ac:dyDescent="0.3">
      <c r="B36" s="54" t="s">
        <v>130</v>
      </c>
      <c r="E36" s="30" t="s">
        <v>93</v>
      </c>
      <c r="H36" s="28" t="s">
        <v>4</v>
      </c>
      <c r="I36" s="28" t="s">
        <v>4</v>
      </c>
      <c r="M36" s="30" t="s">
        <v>2</v>
      </c>
      <c r="N36" s="30" t="s">
        <v>7</v>
      </c>
      <c r="O36" s="28" t="s">
        <v>94</v>
      </c>
      <c r="P36" s="28" t="s">
        <v>94</v>
      </c>
    </row>
    <row r="37" spans="2:17" x14ac:dyDescent="0.3">
      <c r="E37" s="29" t="s">
        <v>1</v>
      </c>
      <c r="F37" s="29"/>
      <c r="G37" s="31" t="s">
        <v>101</v>
      </c>
      <c r="H37" s="31" t="s">
        <v>102</v>
      </c>
      <c r="I37" s="31" t="s">
        <v>100</v>
      </c>
      <c r="J37" s="31" t="s">
        <v>103</v>
      </c>
      <c r="K37" s="31" t="s">
        <v>104</v>
      </c>
      <c r="L37" s="31" t="s">
        <v>105</v>
      </c>
      <c r="M37" s="28" t="s">
        <v>38</v>
      </c>
    </row>
    <row r="38" spans="2:17" x14ac:dyDescent="0.3">
      <c r="B38" s="28" t="s">
        <v>44</v>
      </c>
      <c r="C38" s="28" t="str">
        <f>CONCATENATE(D38," ",(IF(F38="()","",F38)))</f>
        <v xml:space="preserve">Urban Off-Reserve </v>
      </c>
      <c r="D38" s="28" t="s">
        <v>50</v>
      </c>
      <c r="E38" s="28" t="str">
        <f>CONCATENATE("(",G38,",",H38,")")</f>
        <v>(,)</v>
      </c>
      <c r="F38" s="28" t="str">
        <f>SUBSTITUTE(SUBSTITUTE(SUBSTITUTE(SUBSTITUTE(E38,"(,)",""),"()",""),"(,","("),",)",")")</f>
        <v/>
      </c>
      <c r="G38" s="28" t="str">
        <f>IF(orig_income!$P$8="o","1","")</f>
        <v/>
      </c>
      <c r="H38" s="28" t="str">
        <f>IF(orig_income!$P$12="o","2","")</f>
        <v/>
      </c>
      <c r="M38" s="28" t="str">
        <f>IF(orig_income!$Q$6="","",orig_income!$Q$6)</f>
        <v xml:space="preserve"> </v>
      </c>
      <c r="N38" s="28">
        <f>IF(M38="s","s",orig_income!$F$6)</f>
        <v>6.1154598825999997</v>
      </c>
    </row>
    <row r="39" spans="2:17" x14ac:dyDescent="0.3">
      <c r="C39" s="28" t="str">
        <f t="shared" ref="C39:C44" si="18">CONCATENATE(D39," ",(IF(F39="()","",F39)))</f>
        <v xml:space="preserve">Rural On-Reserve </v>
      </c>
      <c r="D39" s="28" t="s">
        <v>51</v>
      </c>
      <c r="E39" s="28" t="str">
        <f>CONCATENATE("(",I39,",",J39,")")</f>
        <v>(,)</v>
      </c>
      <c r="F39" s="28" t="str">
        <f t="shared" ref="F39:F40" si="19">SUBSTITUTE(SUBSTITUTE(SUBSTITUTE(SUBSTITUTE(E39,"(,)",""),"()",""),"(,","("),",)",")")</f>
        <v/>
      </c>
      <c r="I39" s="28" t="str">
        <f>IF(orig_income!$O$13="r","3","")</f>
        <v/>
      </c>
      <c r="J39" s="28" t="str">
        <f>IF(orig_income!$O$17="r","4","")</f>
        <v/>
      </c>
      <c r="M39" s="28" t="str">
        <f>IF(orig_income!$Q$5="","",orig_income!$Q$5)</f>
        <v xml:space="preserve"> </v>
      </c>
      <c r="N39" s="28">
        <f>IF(M39="s","s",orig_income!$F$5)</f>
        <v>8.9380530972999992</v>
      </c>
    </row>
    <row r="40" spans="2:17" x14ac:dyDescent="0.3">
      <c r="C40" s="28" t="str">
        <f t="shared" si="18"/>
        <v xml:space="preserve">Rural Off-Reserve </v>
      </c>
      <c r="D40" s="28" t="s">
        <v>52</v>
      </c>
      <c r="E40" s="28" t="str">
        <f>CONCATENATE("(",K40,",",L40,,")")</f>
        <v>(,)</v>
      </c>
      <c r="F40" s="28" t="str">
        <f t="shared" si="19"/>
        <v/>
      </c>
      <c r="K40" s="28" t="str">
        <f>IF(orig_income!$P$13="o","5","")</f>
        <v/>
      </c>
      <c r="L40" s="28" t="str">
        <f>IF(orig_income!$P$17="o","6","")</f>
        <v/>
      </c>
      <c r="M40" s="28" t="str">
        <f>IF(orig_income!$Q$7="","",orig_income!$Q$7)</f>
        <v xml:space="preserve"> </v>
      </c>
      <c r="N40" s="28">
        <f>IF(M40="s","s",orig_income!$F$7)</f>
        <v>7.0360598065</v>
      </c>
    </row>
    <row r="41" spans="2:17" x14ac:dyDescent="0.3">
      <c r="B41" s="28" t="s">
        <v>49</v>
      </c>
      <c r="C41" s="28" t="str">
        <f t="shared" si="18"/>
        <v xml:space="preserve">Lowest Urban </v>
      </c>
      <c r="D41" s="28" t="s">
        <v>112</v>
      </c>
      <c r="M41" s="28" t="str">
        <f>IF(orig_income!$Q$8="","",orig_income!$Q$8)</f>
        <v xml:space="preserve"> </v>
      </c>
      <c r="N41" s="28">
        <f>IF(M41="s","s",orig_income!$F$8)</f>
        <v>8.2070707070999998</v>
      </c>
    </row>
    <row r="42" spans="2:17" x14ac:dyDescent="0.3">
      <c r="C42" s="28" t="str">
        <f t="shared" si="18"/>
        <v xml:space="preserve">Highest Urban </v>
      </c>
      <c r="D42" s="28" t="s">
        <v>113</v>
      </c>
      <c r="M42" s="28" t="str">
        <f>IF(orig_income!$Q$12="","",orig_income!$Q$12)</f>
        <v xml:space="preserve"> </v>
      </c>
      <c r="N42" s="28">
        <f>IF(M42="s","s",orig_income!$F$12)</f>
        <v>5.5967327182000002</v>
      </c>
    </row>
    <row r="43" spans="2:17" x14ac:dyDescent="0.3">
      <c r="C43" s="28" t="str">
        <f t="shared" si="18"/>
        <v xml:space="preserve">Lowest Rural </v>
      </c>
      <c r="D43" s="28" t="s">
        <v>114</v>
      </c>
      <c r="M43" s="28" t="str">
        <f>IF(orig_income!$Q$13="","",orig_income!$Q$13)</f>
        <v xml:space="preserve"> </v>
      </c>
      <c r="N43" s="28">
        <f>IF(M43="s","s",orig_income!$F$13)</f>
        <v>8.2539682540000001</v>
      </c>
    </row>
    <row r="44" spans="2:17" x14ac:dyDescent="0.3">
      <c r="C44" s="28" t="str">
        <f t="shared" si="18"/>
        <v xml:space="preserve">Highest Rural </v>
      </c>
      <c r="D44" s="28" t="s">
        <v>115</v>
      </c>
      <c r="M44" s="28" t="str">
        <f>IF(orig_income!$Q$17="","",orig_income!$Q$17)</f>
        <v xml:space="preserve"> </v>
      </c>
      <c r="N44" s="28">
        <f>IF(M44="s","s",orig_income!$F$17)</f>
        <v>4.7436599161000004</v>
      </c>
    </row>
    <row r="45" spans="2:17" s="33" customFormat="1" ht="15" thickBot="1" x14ac:dyDescent="0.35"/>
    <row r="46" spans="2:17" x14ac:dyDescent="0.3">
      <c r="B46" s="54" t="s">
        <v>131</v>
      </c>
      <c r="E46" s="30" t="s">
        <v>93</v>
      </c>
      <c r="H46" s="28" t="s">
        <v>4</v>
      </c>
      <c r="J46" s="30" t="s">
        <v>2</v>
      </c>
      <c r="K46" s="30" t="s">
        <v>7</v>
      </c>
      <c r="L46" s="28" t="s">
        <v>94</v>
      </c>
      <c r="M46" s="28" t="s">
        <v>94</v>
      </c>
    </row>
    <row r="47" spans="2:17" x14ac:dyDescent="0.3">
      <c r="E47" s="29" t="s">
        <v>1</v>
      </c>
      <c r="F47" s="29"/>
      <c r="G47" s="31" t="s">
        <v>101</v>
      </c>
      <c r="H47" s="31" t="s">
        <v>100</v>
      </c>
      <c r="I47" s="31" t="s">
        <v>104</v>
      </c>
      <c r="J47" s="28" t="s">
        <v>38</v>
      </c>
    </row>
    <row r="48" spans="2:17" x14ac:dyDescent="0.3">
      <c r="B48" s="28" t="s">
        <v>44</v>
      </c>
      <c r="C48" s="28" t="str">
        <f>CONCATENATE(D48," ",(IF(F48="()","",F48)))</f>
        <v xml:space="preserve">Urban Off-Reserve </v>
      </c>
      <c r="D48" s="28" t="s">
        <v>50</v>
      </c>
      <c r="E48" s="28" t="str">
        <f>CONCATENATE("(",G48,")")</f>
        <v>()</v>
      </c>
      <c r="F48" s="28" t="str">
        <f>SUBSTITUTE(SUBSTITUTE(SUBSTITUTE(SUBSTITUTE(E48,"(,)",""),"()",""),"(,","("),",)",")")</f>
        <v/>
      </c>
      <c r="G48" s="28" t="str">
        <f>IF(orig_income!$P$8="o","1","")</f>
        <v/>
      </c>
      <c r="J48" s="28" t="str">
        <f>IF(orig_income!$Q$6="","",orig_income!$Q$6)</f>
        <v xml:space="preserve"> </v>
      </c>
      <c r="K48" s="28">
        <f>IF(J48="s","s",orig_income!$F$6)</f>
        <v>6.1154598825999997</v>
      </c>
    </row>
    <row r="49" spans="2:11" x14ac:dyDescent="0.3">
      <c r="C49" s="28" t="str">
        <f t="shared" ref="C49:C52" si="20">CONCATENATE(D49," ",(IF(F49="()","",F49)))</f>
        <v xml:space="preserve">Rural On-Reserve </v>
      </c>
      <c r="D49" s="28" t="s">
        <v>51</v>
      </c>
      <c r="E49" s="28" t="str">
        <f>CONCATENATE("(",H49,")")</f>
        <v>()</v>
      </c>
      <c r="F49" s="28" t="str">
        <f t="shared" ref="F49:F50" si="21">SUBSTITUTE(SUBSTITUTE(SUBSTITUTE(SUBSTITUTE(E49,"(,)",""),"()",""),"(,","("),",)",")")</f>
        <v/>
      </c>
      <c r="H49" s="28" t="str">
        <f>IF(orig_income!$O$13="r","2","")</f>
        <v/>
      </c>
      <c r="J49" s="28" t="str">
        <f>IF(orig_income!$Q$5="","",orig_income!$Q$5)</f>
        <v xml:space="preserve"> </v>
      </c>
      <c r="K49" s="28">
        <f>IF(J49="s","s",orig_income!$F$5)</f>
        <v>8.9380530972999992</v>
      </c>
    </row>
    <row r="50" spans="2:11" x14ac:dyDescent="0.3">
      <c r="C50" s="28" t="str">
        <f t="shared" si="20"/>
        <v xml:space="preserve">Rural Off-Reserve </v>
      </c>
      <c r="D50" s="28" t="s">
        <v>52</v>
      </c>
      <c r="E50" s="28" t="str">
        <f>CONCATENATE("(",I50,")")</f>
        <v>()</v>
      </c>
      <c r="F50" s="28" t="str">
        <f t="shared" si="21"/>
        <v/>
      </c>
      <c r="I50" s="28" t="str">
        <f>IF(orig_income!$P$13="o","3","")</f>
        <v/>
      </c>
      <c r="J50" s="28" t="str">
        <f>IF(orig_income!$Q$7="","",orig_income!$Q$7)</f>
        <v xml:space="preserve"> </v>
      </c>
      <c r="K50" s="28">
        <f>IF(J50="s","s",orig_income!$F$7)</f>
        <v>7.0360598065</v>
      </c>
    </row>
    <row r="51" spans="2:11" x14ac:dyDescent="0.3">
      <c r="B51" s="28" t="s">
        <v>49</v>
      </c>
      <c r="C51" s="28" t="str">
        <f t="shared" si="20"/>
        <v xml:space="preserve">Lowest Urban </v>
      </c>
      <c r="D51" s="28" t="s">
        <v>112</v>
      </c>
      <c r="J51" s="28" t="str">
        <f>IF(orig_income!$Q$8="","",orig_income!$Q$8)</f>
        <v xml:space="preserve"> </v>
      </c>
      <c r="K51" s="28">
        <f>IF(J51="s","s",orig_income!$F$8)</f>
        <v>8.2070707070999998</v>
      </c>
    </row>
    <row r="52" spans="2:11" x14ac:dyDescent="0.3">
      <c r="C52" s="28" t="str">
        <f t="shared" si="20"/>
        <v xml:space="preserve">Lowest Rural </v>
      </c>
      <c r="D52" s="28" t="s">
        <v>114</v>
      </c>
      <c r="J52" s="28" t="str">
        <f>IF(orig_income!$Q$13="","",orig_income!$Q$13)</f>
        <v xml:space="preserve"> </v>
      </c>
      <c r="K52" s="28">
        <f>IF(J52="s","s",orig_income!$F$13)</f>
        <v>8.2539682540000001</v>
      </c>
    </row>
  </sheetData>
  <sortState ref="A35:BS43">
    <sortCondition ref="A35:A43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6"/>
  <sheetViews>
    <sheetView workbookViewId="0">
      <selection activeCell="A2" sqref="A2"/>
    </sheetView>
  </sheetViews>
  <sheetFormatPr defaultRowHeight="14.4" x14ac:dyDescent="0.3"/>
  <cols>
    <col min="1" max="1" width="18.5546875" customWidth="1"/>
    <col min="2" max="2" width="40.109375" bestFit="1" customWidth="1"/>
    <col min="3" max="3" width="11.6640625" customWidth="1"/>
    <col min="4" max="4" width="15.6640625" bestFit="1" customWidth="1"/>
    <col min="5" max="5" width="14" bestFit="1" customWidth="1"/>
    <col min="6" max="6" width="13.109375" bestFit="1" customWidth="1"/>
    <col min="7" max="7" width="13.5546875" bestFit="1" customWidth="1"/>
    <col min="8" max="8" width="12.44140625" bestFit="1" customWidth="1"/>
    <col min="9" max="9" width="11.6640625" bestFit="1" customWidth="1"/>
    <col min="10" max="10" width="12.33203125" customWidth="1"/>
    <col min="11" max="11" width="16.33203125" bestFit="1" customWidth="1"/>
    <col min="12" max="12" width="14.5546875" bestFit="1" customWidth="1"/>
    <col min="13" max="13" width="13.6640625" bestFit="1" customWidth="1"/>
    <col min="14" max="14" width="14.109375" bestFit="1" customWidth="1"/>
    <col min="15" max="15" width="13.109375" bestFit="1" customWidth="1"/>
    <col min="16" max="16" width="7.33203125" bestFit="1" customWidth="1"/>
    <col min="17" max="17" width="7.88671875" customWidth="1"/>
    <col min="18" max="22" width="12" bestFit="1" customWidth="1"/>
    <col min="23" max="23" width="10.44140625" bestFit="1" customWidth="1"/>
    <col min="24" max="24" width="11" bestFit="1" customWidth="1"/>
    <col min="25" max="25" width="15" bestFit="1" customWidth="1"/>
    <col min="26" max="26" width="13.33203125" bestFit="1" customWidth="1"/>
    <col min="27" max="27" width="12.33203125" bestFit="1" customWidth="1"/>
    <col min="28" max="28" width="12.6640625" bestFit="1" customWidth="1"/>
    <col min="29" max="29" width="12" bestFit="1" customWidth="1"/>
    <col min="30" max="30" width="17.6640625" bestFit="1" customWidth="1"/>
    <col min="31" max="31" width="16.44140625" bestFit="1" customWidth="1"/>
    <col min="32" max="32" width="17" bestFit="1" customWidth="1"/>
    <col min="33" max="33" width="16.109375" bestFit="1" customWidth="1"/>
    <col min="34" max="34" width="15.88671875" bestFit="1" customWidth="1"/>
    <col min="35" max="35" width="14.6640625" bestFit="1" customWidth="1"/>
    <col min="36" max="36" width="15.33203125" bestFit="1" customWidth="1"/>
    <col min="37" max="37" width="14.44140625" bestFit="1" customWidth="1"/>
    <col min="38" max="38" width="11.88671875" style="16" customWidth="1"/>
    <col min="39" max="39" width="12.44140625" style="16" customWidth="1"/>
    <col min="40" max="40" width="8" style="16" customWidth="1"/>
    <col min="41" max="41" width="11.109375" style="16" bestFit="1" customWidth="1"/>
    <col min="42" max="42" width="15.5546875" style="16" bestFit="1" customWidth="1"/>
    <col min="43" max="43" width="13.88671875" style="16" bestFit="1" customWidth="1"/>
    <col min="44" max="44" width="16.33203125" style="16" bestFit="1" customWidth="1"/>
    <col min="45" max="45" width="16.88671875" style="16" bestFit="1" customWidth="1"/>
    <col min="46" max="46" width="12.33203125" style="16" bestFit="1" customWidth="1"/>
    <col min="47" max="47" width="15.5546875" style="16" bestFit="1" customWidth="1"/>
    <col min="48" max="48" width="9.109375" style="16"/>
  </cols>
  <sheetData>
    <row r="1" spans="1:62" s="2" customFormat="1" x14ac:dyDescent="0.3">
      <c r="A1" s="2" t="s">
        <v>195</v>
      </c>
      <c r="AV1" s="16"/>
    </row>
    <row r="2" spans="1:62" s="2" customFormat="1" x14ac:dyDescent="0.3">
      <c r="AV2" s="16"/>
    </row>
    <row r="3" spans="1:62" s="16" customFormat="1" x14ac:dyDescent="0.3">
      <c r="A3" s="2" t="s">
        <v>196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</row>
    <row r="4" spans="1:62" s="2" customFormat="1" x14ac:dyDescent="0.3">
      <c r="A4" s="2" t="s">
        <v>8</v>
      </c>
      <c r="B4" s="2" t="s">
        <v>197</v>
      </c>
      <c r="C4" s="2" t="s">
        <v>9</v>
      </c>
      <c r="D4" s="2" t="s">
        <v>11</v>
      </c>
      <c r="E4" s="2" t="s">
        <v>12</v>
      </c>
      <c r="F4" s="2" t="s">
        <v>13</v>
      </c>
      <c r="G4" s="2" t="s">
        <v>14</v>
      </c>
      <c r="H4" s="2" t="s">
        <v>10</v>
      </c>
      <c r="I4" s="2" t="s">
        <v>198</v>
      </c>
      <c r="J4" s="2" t="s">
        <v>15</v>
      </c>
      <c r="K4" s="2" t="s">
        <v>17</v>
      </c>
      <c r="L4" s="2" t="s">
        <v>18</v>
      </c>
      <c r="M4" s="2" t="s">
        <v>19</v>
      </c>
      <c r="N4" s="2" t="s">
        <v>20</v>
      </c>
      <c r="O4" s="2" t="s">
        <v>16</v>
      </c>
      <c r="P4" s="2" t="s">
        <v>199</v>
      </c>
      <c r="Q4" s="2" t="s">
        <v>21</v>
      </c>
      <c r="R4" s="2" t="s">
        <v>23</v>
      </c>
      <c r="S4" s="2" t="s">
        <v>24</v>
      </c>
      <c r="T4" s="2" t="s">
        <v>25</v>
      </c>
      <c r="U4" s="2" t="s">
        <v>26</v>
      </c>
      <c r="V4" s="2" t="s">
        <v>22</v>
      </c>
      <c r="W4" s="2" t="s">
        <v>200</v>
      </c>
      <c r="X4" s="2" t="s">
        <v>133</v>
      </c>
      <c r="Y4" s="2" t="s">
        <v>134</v>
      </c>
      <c r="Z4" s="2" t="s">
        <v>135</v>
      </c>
      <c r="AA4" s="2" t="s">
        <v>136</v>
      </c>
      <c r="AB4" s="2" t="s">
        <v>137</v>
      </c>
      <c r="AC4" s="2" t="s">
        <v>138</v>
      </c>
      <c r="AD4" s="2" t="s">
        <v>139</v>
      </c>
      <c r="AE4" s="2" t="s">
        <v>140</v>
      </c>
      <c r="AF4" s="2" t="s">
        <v>141</v>
      </c>
      <c r="AG4" s="2" t="s">
        <v>142</v>
      </c>
      <c r="AH4" s="2" t="s">
        <v>28</v>
      </c>
      <c r="AI4" s="2" t="s">
        <v>29</v>
      </c>
      <c r="AJ4" s="2" t="s">
        <v>30</v>
      </c>
      <c r="AK4" s="2" t="s">
        <v>27</v>
      </c>
      <c r="AL4" s="2" t="s">
        <v>31</v>
      </c>
      <c r="AM4" s="2" t="s">
        <v>32</v>
      </c>
      <c r="AN4" s="2" t="s">
        <v>33</v>
      </c>
      <c r="AO4" s="2" t="s">
        <v>143</v>
      </c>
      <c r="AP4" s="2" t="s">
        <v>144</v>
      </c>
      <c r="AQ4" s="2" t="s">
        <v>34</v>
      </c>
      <c r="AR4" s="2" t="s">
        <v>35</v>
      </c>
      <c r="AS4" s="2" t="s">
        <v>36</v>
      </c>
      <c r="AT4" s="2" t="s">
        <v>37</v>
      </c>
      <c r="AU4" s="2" t="s">
        <v>145</v>
      </c>
      <c r="AV4" s="16"/>
    </row>
    <row r="5" spans="1:62" s="2" customFormat="1" x14ac:dyDescent="0.3">
      <c r="A5" s="2" t="s">
        <v>63</v>
      </c>
      <c r="B5" s="2">
        <v>18</v>
      </c>
      <c r="C5" s="2">
        <v>1156</v>
      </c>
      <c r="D5" s="2">
        <v>15.570934255999999</v>
      </c>
      <c r="E5" s="2">
        <v>1.7471821577</v>
      </c>
      <c r="F5" s="2">
        <v>1.0581877364000001</v>
      </c>
      <c r="G5" s="2">
        <v>2.8847863068000001</v>
      </c>
      <c r="H5" s="2">
        <v>2.9181434999999999E-2</v>
      </c>
      <c r="I5" s="2" t="s">
        <v>38</v>
      </c>
      <c r="J5" s="2" t="s">
        <v>38</v>
      </c>
      <c r="K5" s="2" t="s">
        <v>38</v>
      </c>
      <c r="L5" s="2" t="s">
        <v>38</v>
      </c>
      <c r="M5" s="2" t="s">
        <v>38</v>
      </c>
      <c r="N5" s="2" t="s">
        <v>38</v>
      </c>
      <c r="O5" s="2" t="s">
        <v>38</v>
      </c>
      <c r="P5" s="2">
        <v>19</v>
      </c>
      <c r="Q5" s="2">
        <v>1561</v>
      </c>
      <c r="R5" s="2">
        <v>12.171684816999999</v>
      </c>
      <c r="S5" s="2">
        <v>1.4981315395999999</v>
      </c>
      <c r="T5" s="2">
        <v>0.92851082419999997</v>
      </c>
      <c r="U5" s="2">
        <v>2.4172018801999999</v>
      </c>
      <c r="V5" s="2">
        <v>9.7706141100000005E-2</v>
      </c>
      <c r="W5" s="2">
        <v>80</v>
      </c>
      <c r="X5" s="2">
        <v>13101</v>
      </c>
      <c r="Y5" s="2">
        <v>6.1064040912999999</v>
      </c>
      <c r="Z5" s="2">
        <v>0.99394082890000002</v>
      </c>
      <c r="AA5" s="2">
        <v>0.78113331399999997</v>
      </c>
      <c r="AB5" s="2">
        <v>1.2647244121000001</v>
      </c>
      <c r="AC5" s="2">
        <v>0.96056795250000004</v>
      </c>
      <c r="AD5" s="2">
        <v>1.9932655348999999</v>
      </c>
      <c r="AE5" s="2">
        <v>1.2087346005999999</v>
      </c>
      <c r="AF5" s="2">
        <v>3.2869974026</v>
      </c>
      <c r="AG5" s="1">
        <v>6.8761613999999997E-3</v>
      </c>
      <c r="AH5" s="2">
        <v>6.3062283736999998</v>
      </c>
      <c r="AI5" s="2">
        <v>0.84186652709999998</v>
      </c>
      <c r="AJ5" s="2">
        <v>47.238505179000001</v>
      </c>
      <c r="AK5" s="2">
        <v>7.3065513299999996E-2</v>
      </c>
      <c r="AL5" s="2" t="s">
        <v>38</v>
      </c>
      <c r="AM5" s="2" t="s">
        <v>38</v>
      </c>
      <c r="AN5" s="2" t="s">
        <v>38</v>
      </c>
      <c r="AO5" s="2" t="s">
        <v>38</v>
      </c>
      <c r="AP5" s="2" t="s">
        <v>107</v>
      </c>
      <c r="AQ5" s="2" t="s">
        <v>38</v>
      </c>
      <c r="AR5" s="2" t="s">
        <v>38</v>
      </c>
      <c r="AS5" s="2" t="s">
        <v>158</v>
      </c>
      <c r="AT5" s="2" t="s">
        <v>38</v>
      </c>
      <c r="AU5" s="2" t="s">
        <v>38</v>
      </c>
      <c r="AV5" s="16"/>
    </row>
    <row r="6" spans="1:62" s="2" customFormat="1" x14ac:dyDescent="0.3">
      <c r="A6" s="2" t="s">
        <v>64</v>
      </c>
      <c r="B6" s="2" t="s">
        <v>38</v>
      </c>
      <c r="C6" s="2" t="s">
        <v>38</v>
      </c>
      <c r="D6" s="2" t="s">
        <v>38</v>
      </c>
      <c r="E6" s="2" t="s">
        <v>38</v>
      </c>
      <c r="F6" s="2" t="s">
        <v>38</v>
      </c>
      <c r="G6" s="2" t="s">
        <v>38</v>
      </c>
      <c r="H6" s="2" t="s">
        <v>38</v>
      </c>
      <c r="I6" s="2">
        <v>22</v>
      </c>
      <c r="J6" s="2">
        <v>3753</v>
      </c>
      <c r="K6" s="2">
        <v>5.8619770850000004</v>
      </c>
      <c r="L6" s="2">
        <v>0.87125338490000004</v>
      </c>
      <c r="M6" s="2">
        <v>0.52122099850000003</v>
      </c>
      <c r="N6" s="2">
        <v>1.4563543350999999</v>
      </c>
      <c r="O6" s="2">
        <v>0.59903708749999995</v>
      </c>
      <c r="P6" s="2">
        <v>22</v>
      </c>
      <c r="Q6" s="2">
        <v>3753</v>
      </c>
      <c r="R6" s="2">
        <v>5.8619770850000004</v>
      </c>
      <c r="S6" s="2">
        <v>0.72151167949999995</v>
      </c>
      <c r="T6" s="2">
        <v>0.46067676079999997</v>
      </c>
      <c r="U6" s="2">
        <v>1.1300311803</v>
      </c>
      <c r="V6" s="1">
        <v>0.15388910010000001</v>
      </c>
      <c r="W6" s="2">
        <v>207</v>
      </c>
      <c r="X6" s="2">
        <v>34741</v>
      </c>
      <c r="Y6" s="2">
        <v>5.9583777092999997</v>
      </c>
      <c r="Z6" s="2">
        <v>0.96984653990000003</v>
      </c>
      <c r="AA6" s="2">
        <v>0.81897937850000002</v>
      </c>
      <c r="AB6" s="2">
        <v>1.1485054882000001</v>
      </c>
      <c r="AC6" s="1">
        <v>0.72265150720000004</v>
      </c>
      <c r="AD6" s="2">
        <v>0.98382099469999995</v>
      </c>
      <c r="AE6" s="2">
        <v>0.63392674250000003</v>
      </c>
      <c r="AF6" s="2">
        <v>1.526838489</v>
      </c>
      <c r="AG6" s="1">
        <v>0.94201375929999998</v>
      </c>
      <c r="AH6" s="2" t="s">
        <v>38</v>
      </c>
      <c r="AI6" s="2" t="s">
        <v>38</v>
      </c>
      <c r="AJ6" s="2" t="s">
        <v>38</v>
      </c>
      <c r="AK6" s="2" t="s">
        <v>38</v>
      </c>
      <c r="AL6" s="2" t="s">
        <v>38</v>
      </c>
      <c r="AM6" s="2" t="s">
        <v>38</v>
      </c>
      <c r="AN6" s="2" t="s">
        <v>38</v>
      </c>
      <c r="AO6" s="2" t="s">
        <v>38</v>
      </c>
      <c r="AP6" s="2" t="s">
        <v>38</v>
      </c>
      <c r="AQ6" s="2" t="s">
        <v>38</v>
      </c>
      <c r="AR6" s="2" t="s">
        <v>38</v>
      </c>
      <c r="AS6" s="2" t="s">
        <v>38</v>
      </c>
      <c r="AT6" s="2" t="s">
        <v>38</v>
      </c>
      <c r="AU6" s="2" t="s">
        <v>38</v>
      </c>
      <c r="AV6" s="16"/>
    </row>
    <row r="7" spans="1:62" s="2" customFormat="1" x14ac:dyDescent="0.3">
      <c r="A7" s="2" t="s">
        <v>65</v>
      </c>
      <c r="B7" s="2">
        <v>11</v>
      </c>
      <c r="C7" s="2">
        <v>1107</v>
      </c>
      <c r="D7" s="2">
        <v>9.9367660342999997</v>
      </c>
      <c r="E7" s="2">
        <v>1.1149838561000001</v>
      </c>
      <c r="F7" s="2">
        <v>0.59842117699999997</v>
      </c>
      <c r="G7" s="2">
        <v>2.0774482041</v>
      </c>
      <c r="H7" s="2">
        <v>0.73175163229999995</v>
      </c>
      <c r="I7" s="2">
        <v>9</v>
      </c>
      <c r="J7" s="2">
        <v>764</v>
      </c>
      <c r="K7" s="2">
        <v>11.780104712</v>
      </c>
      <c r="L7" s="2">
        <v>1.7508523073</v>
      </c>
      <c r="M7" s="2">
        <v>0.85355649680000001</v>
      </c>
      <c r="N7" s="2">
        <v>3.5914246021</v>
      </c>
      <c r="O7" s="2">
        <v>0.12651417649999999</v>
      </c>
      <c r="P7" s="2">
        <v>20</v>
      </c>
      <c r="Q7" s="2">
        <v>1871</v>
      </c>
      <c r="R7" s="2">
        <v>10.689470870999999</v>
      </c>
      <c r="S7" s="2">
        <v>1.3156957064000001</v>
      </c>
      <c r="T7" s="2">
        <v>0.82420061519999999</v>
      </c>
      <c r="U7" s="2">
        <v>2.1002837900000002</v>
      </c>
      <c r="V7" s="2">
        <v>0.25024627770000002</v>
      </c>
      <c r="W7" s="2">
        <v>64</v>
      </c>
      <c r="X7" s="2">
        <v>8191</v>
      </c>
      <c r="Y7" s="2">
        <v>7.8134537906999997</v>
      </c>
      <c r="Z7" s="2">
        <v>1.2717977095999999</v>
      </c>
      <c r="AA7" s="2">
        <v>0.97604819759999994</v>
      </c>
      <c r="AB7" s="2">
        <v>1.6571614169</v>
      </c>
      <c r="AC7" s="1">
        <v>7.5004322900000003E-2</v>
      </c>
      <c r="AD7" s="2">
        <v>1.3680852484999999</v>
      </c>
      <c r="AE7" s="2">
        <v>0.82805208009999998</v>
      </c>
      <c r="AF7" s="2">
        <v>2.2603134419000002</v>
      </c>
      <c r="AG7" s="1">
        <v>0.2211651781</v>
      </c>
      <c r="AH7" s="2">
        <v>0.84352102780000005</v>
      </c>
      <c r="AI7" s="2">
        <v>0.34954997160000001</v>
      </c>
      <c r="AJ7" s="2">
        <v>2.0355536608999998</v>
      </c>
      <c r="AK7" s="2">
        <v>0.70498095179999998</v>
      </c>
      <c r="AL7" s="2" t="s">
        <v>38</v>
      </c>
      <c r="AM7" s="2" t="s">
        <v>38</v>
      </c>
      <c r="AN7" s="2" t="s">
        <v>38</v>
      </c>
      <c r="AO7" s="2" t="s">
        <v>38</v>
      </c>
      <c r="AP7" s="2" t="s">
        <v>38</v>
      </c>
      <c r="AQ7" s="2" t="s">
        <v>38</v>
      </c>
      <c r="AR7" s="2" t="s">
        <v>38</v>
      </c>
      <c r="AS7" s="2" t="s">
        <v>38</v>
      </c>
      <c r="AT7" s="2" t="s">
        <v>38</v>
      </c>
      <c r="AU7" s="2" t="s">
        <v>38</v>
      </c>
      <c r="AV7" s="16"/>
    </row>
    <row r="8" spans="1:62" s="2" customFormat="1" x14ac:dyDescent="0.3">
      <c r="A8" s="2" t="s">
        <v>66</v>
      </c>
      <c r="B8" s="2">
        <v>26</v>
      </c>
      <c r="C8" s="2">
        <v>2715</v>
      </c>
      <c r="D8" s="2">
        <v>9.5764272560000006</v>
      </c>
      <c r="E8" s="2">
        <v>1.074550991</v>
      </c>
      <c r="F8" s="2">
        <v>0.69828898900000003</v>
      </c>
      <c r="G8" s="2">
        <v>1.6535558349999999</v>
      </c>
      <c r="H8" s="2">
        <v>0.74369971580000005</v>
      </c>
      <c r="I8" s="2" t="s">
        <v>38</v>
      </c>
      <c r="J8" s="2" t="s">
        <v>38</v>
      </c>
      <c r="K8" s="2" t="s">
        <v>38</v>
      </c>
      <c r="L8" s="2" t="s">
        <v>38</v>
      </c>
      <c r="M8" s="2" t="s">
        <v>38</v>
      </c>
      <c r="N8" s="2" t="s">
        <v>38</v>
      </c>
      <c r="O8" s="2" t="s">
        <v>38</v>
      </c>
      <c r="P8" s="2">
        <v>29</v>
      </c>
      <c r="Q8" s="2">
        <v>3083</v>
      </c>
      <c r="R8" s="2">
        <v>9.4064223159000004</v>
      </c>
      <c r="S8" s="2">
        <v>1.1577738134</v>
      </c>
      <c r="T8" s="2">
        <v>0.77691398349999996</v>
      </c>
      <c r="U8" s="2">
        <v>1.7253392671000001</v>
      </c>
      <c r="V8" s="2">
        <v>0.47166844000000002</v>
      </c>
      <c r="W8" s="2">
        <v>17</v>
      </c>
      <c r="X8" s="2">
        <v>4772</v>
      </c>
      <c r="Y8" s="2">
        <v>3.5624476111000001</v>
      </c>
      <c r="Z8" s="2">
        <v>0.57986043480000005</v>
      </c>
      <c r="AA8" s="2">
        <v>0.35673424910000001</v>
      </c>
      <c r="AB8" s="2">
        <v>0.94254511490000004</v>
      </c>
      <c r="AC8" s="2">
        <v>2.7899713E-2</v>
      </c>
      <c r="AD8" s="2">
        <v>2.6404380760000001</v>
      </c>
      <c r="AE8" s="2">
        <v>1.450999623</v>
      </c>
      <c r="AF8" s="2">
        <v>4.8049035457000002</v>
      </c>
      <c r="AG8" s="1">
        <v>1.4797612000000001E-3</v>
      </c>
      <c r="AH8" s="2">
        <v>1.1747084101</v>
      </c>
      <c r="AI8" s="2">
        <v>0.35555768519999997</v>
      </c>
      <c r="AJ8" s="2">
        <v>3.8810575783000001</v>
      </c>
      <c r="AK8" s="1">
        <v>0.79172179229999995</v>
      </c>
      <c r="AL8" s="2" t="s">
        <v>38</v>
      </c>
      <c r="AM8" s="2" t="s">
        <v>38</v>
      </c>
      <c r="AN8" s="2" t="s">
        <v>38</v>
      </c>
      <c r="AO8" s="2" t="s">
        <v>38</v>
      </c>
      <c r="AP8" s="2" t="s">
        <v>107</v>
      </c>
      <c r="AQ8" s="2" t="s">
        <v>38</v>
      </c>
      <c r="AR8" s="2" t="s">
        <v>38</v>
      </c>
      <c r="AS8" s="2" t="s">
        <v>158</v>
      </c>
      <c r="AT8" s="2" t="s">
        <v>38</v>
      </c>
      <c r="AU8" s="2" t="s">
        <v>38</v>
      </c>
      <c r="AV8" s="16"/>
    </row>
    <row r="9" spans="1:62" s="2" customFormat="1" x14ac:dyDescent="0.3">
      <c r="A9" s="2" t="s">
        <v>67</v>
      </c>
      <c r="B9" s="2">
        <v>46</v>
      </c>
      <c r="C9" s="2">
        <v>6355</v>
      </c>
      <c r="D9" s="2">
        <v>7.2383949646000003</v>
      </c>
      <c r="E9" s="2">
        <v>0.8122052488</v>
      </c>
      <c r="F9" s="2">
        <v>0.57313491989999998</v>
      </c>
      <c r="G9" s="2">
        <v>1.1509983832999999</v>
      </c>
      <c r="H9" s="2">
        <v>0.24225793279999999</v>
      </c>
      <c r="I9" s="2">
        <v>7</v>
      </c>
      <c r="J9" s="2">
        <v>1084</v>
      </c>
      <c r="K9" s="2">
        <v>6.4575645756000002</v>
      </c>
      <c r="L9" s="2">
        <v>0.95977430699999999</v>
      </c>
      <c r="M9" s="2">
        <v>0.43176284850000002</v>
      </c>
      <c r="N9" s="2">
        <v>2.1335015822000001</v>
      </c>
      <c r="O9" s="2">
        <v>0.91975966180000002</v>
      </c>
      <c r="P9" s="2">
        <v>53</v>
      </c>
      <c r="Q9" s="2">
        <v>7439</v>
      </c>
      <c r="R9" s="2">
        <v>7.1246135232999999</v>
      </c>
      <c r="S9" s="2">
        <v>0.87692118119999996</v>
      </c>
      <c r="T9" s="2">
        <v>0.64003625809999998</v>
      </c>
      <c r="U9" s="2">
        <v>1.2014799916000001</v>
      </c>
      <c r="V9" s="2">
        <v>0.41365431180000001</v>
      </c>
      <c r="W9" s="2">
        <v>15</v>
      </c>
      <c r="X9" s="2">
        <v>1482</v>
      </c>
      <c r="Y9" s="2">
        <v>10.121457489999999</v>
      </c>
      <c r="Z9" s="2">
        <v>1.6474720140000001</v>
      </c>
      <c r="AA9" s="2">
        <v>0.98350441460000004</v>
      </c>
      <c r="AB9" s="2">
        <v>2.7596866844000001</v>
      </c>
      <c r="AC9" s="1">
        <v>5.7858344800000003E-2</v>
      </c>
      <c r="AD9" s="2">
        <v>0.70391181609999998</v>
      </c>
      <c r="AE9" s="2">
        <v>0.39680151409999997</v>
      </c>
      <c r="AF9" s="2">
        <v>1.2487146023</v>
      </c>
      <c r="AG9" s="1">
        <v>0.22994469300000001</v>
      </c>
      <c r="AH9" s="2">
        <v>1.1209171630999999</v>
      </c>
      <c r="AI9" s="2">
        <v>0.50610087020000005</v>
      </c>
      <c r="AJ9" s="2">
        <v>2.4826183088999998</v>
      </c>
      <c r="AK9" s="1">
        <v>0.77843773149999995</v>
      </c>
      <c r="AL9" s="2" t="s">
        <v>38</v>
      </c>
      <c r="AM9" s="2" t="s">
        <v>38</v>
      </c>
      <c r="AN9" s="2" t="s">
        <v>38</v>
      </c>
      <c r="AO9" s="2" t="s">
        <v>38</v>
      </c>
      <c r="AP9" s="2" t="s">
        <v>38</v>
      </c>
      <c r="AQ9" s="2" t="s">
        <v>38</v>
      </c>
      <c r="AR9" s="2" t="s">
        <v>38</v>
      </c>
      <c r="AS9" s="2" t="s">
        <v>38</v>
      </c>
      <c r="AT9" s="2" t="s">
        <v>38</v>
      </c>
      <c r="AU9" s="2" t="s">
        <v>38</v>
      </c>
      <c r="AV9" s="16"/>
    </row>
    <row r="10" spans="1:62" s="2" customFormat="1" x14ac:dyDescent="0.3">
      <c r="A10" s="2" t="s">
        <v>146</v>
      </c>
      <c r="B10" s="2" t="s">
        <v>38</v>
      </c>
      <c r="C10" s="2" t="s">
        <v>38</v>
      </c>
      <c r="D10" s="2" t="s">
        <v>38</v>
      </c>
      <c r="E10" s="2" t="s">
        <v>38</v>
      </c>
      <c r="F10" s="2" t="s">
        <v>38</v>
      </c>
      <c r="G10" s="2" t="s">
        <v>38</v>
      </c>
      <c r="H10" s="2" t="s">
        <v>38</v>
      </c>
      <c r="I10" s="2" t="s">
        <v>38</v>
      </c>
      <c r="J10" s="2" t="s">
        <v>38</v>
      </c>
      <c r="K10" s="2" t="s">
        <v>38</v>
      </c>
      <c r="L10" s="2" t="s">
        <v>38</v>
      </c>
      <c r="M10" s="2" t="s">
        <v>38</v>
      </c>
      <c r="N10" s="2" t="s">
        <v>38</v>
      </c>
      <c r="O10" s="1" t="s">
        <v>38</v>
      </c>
      <c r="P10" s="2" t="s">
        <v>38</v>
      </c>
      <c r="Q10" s="2" t="s">
        <v>38</v>
      </c>
      <c r="R10" s="2" t="s">
        <v>38</v>
      </c>
      <c r="S10" s="2" t="s">
        <v>38</v>
      </c>
      <c r="T10" s="2" t="s">
        <v>38</v>
      </c>
      <c r="U10" s="2" t="s">
        <v>38</v>
      </c>
      <c r="V10" s="1" t="s">
        <v>38</v>
      </c>
      <c r="W10" s="2">
        <v>0</v>
      </c>
      <c r="X10" s="2">
        <v>54</v>
      </c>
      <c r="Y10" s="1">
        <v>1.4101833000000001E-7</v>
      </c>
      <c r="Z10" s="1">
        <v>2.2953586999999999E-8</v>
      </c>
      <c r="AA10" s="2">
        <v>0</v>
      </c>
      <c r="AB10" s="2" t="s">
        <v>201</v>
      </c>
      <c r="AC10" s="1">
        <v>0.99877528439999996</v>
      </c>
      <c r="AD10" s="2">
        <v>417133912.16000003</v>
      </c>
      <c r="AE10" s="2">
        <v>0</v>
      </c>
      <c r="AF10" s="2" t="s">
        <v>201</v>
      </c>
      <c r="AG10" s="2">
        <v>0.99861798950000003</v>
      </c>
      <c r="AH10" s="2" t="s">
        <v>38</v>
      </c>
      <c r="AI10" s="2" t="s">
        <v>38</v>
      </c>
      <c r="AJ10" s="2" t="s">
        <v>38</v>
      </c>
      <c r="AK10" s="2" t="s">
        <v>38</v>
      </c>
      <c r="AL10" s="2" t="s">
        <v>38</v>
      </c>
      <c r="AM10" s="2" t="s">
        <v>38</v>
      </c>
      <c r="AN10" s="2" t="s">
        <v>38</v>
      </c>
      <c r="AO10" s="2" t="s">
        <v>38</v>
      </c>
      <c r="AP10" s="2" t="s">
        <v>38</v>
      </c>
      <c r="AQ10" s="2" t="s">
        <v>38</v>
      </c>
      <c r="AR10" s="2" t="s">
        <v>38</v>
      </c>
      <c r="AS10" s="2" t="s">
        <v>158</v>
      </c>
      <c r="AT10" s="2" t="s">
        <v>158</v>
      </c>
      <c r="AU10" s="2" t="s">
        <v>38</v>
      </c>
      <c r="AV10" s="16"/>
    </row>
    <row r="11" spans="1:62" x14ac:dyDescent="0.3">
      <c r="A11" s="2" t="s">
        <v>39</v>
      </c>
      <c r="B11" s="2">
        <v>101</v>
      </c>
      <c r="C11" s="2">
        <v>11333</v>
      </c>
      <c r="D11" s="2">
        <v>8.9120268242999998</v>
      </c>
      <c r="E11" s="2" t="s">
        <v>38</v>
      </c>
      <c r="F11" s="2" t="s">
        <v>38</v>
      </c>
      <c r="G11" s="2" t="s">
        <v>38</v>
      </c>
      <c r="H11" s="2" t="s">
        <v>38</v>
      </c>
      <c r="I11" s="2">
        <v>43</v>
      </c>
      <c r="J11" s="2">
        <v>6391</v>
      </c>
      <c r="K11" s="2">
        <v>6.7282115474999999</v>
      </c>
      <c r="L11" s="2" t="s">
        <v>38</v>
      </c>
      <c r="M11" s="2" t="s">
        <v>38</v>
      </c>
      <c r="N11" s="2" t="s">
        <v>38</v>
      </c>
      <c r="O11" s="2" t="s">
        <v>38</v>
      </c>
      <c r="P11" s="2">
        <v>144</v>
      </c>
      <c r="Q11" s="2">
        <v>17724</v>
      </c>
      <c r="R11" s="2">
        <v>8.124576845</v>
      </c>
      <c r="S11" s="2" t="s">
        <v>38</v>
      </c>
      <c r="T11" s="2" t="s">
        <v>38</v>
      </c>
      <c r="U11" s="2" t="s">
        <v>38</v>
      </c>
      <c r="V11" s="2" t="s">
        <v>38</v>
      </c>
      <c r="W11" s="2">
        <v>383</v>
      </c>
      <c r="X11" s="2">
        <v>62341</v>
      </c>
      <c r="Y11" s="2">
        <v>6.1436293932000003</v>
      </c>
      <c r="Z11" s="2" t="s">
        <v>38</v>
      </c>
      <c r="AA11" s="2" t="s">
        <v>38</v>
      </c>
      <c r="AB11" s="2" t="s">
        <v>38</v>
      </c>
      <c r="AC11" s="2" t="s">
        <v>38</v>
      </c>
      <c r="AD11" s="2">
        <v>1.3224392822</v>
      </c>
      <c r="AE11" s="2">
        <v>1.0918658306</v>
      </c>
      <c r="AF11" s="2">
        <v>1.6017038048000001</v>
      </c>
      <c r="AG11" s="1">
        <v>4.2490159E-3</v>
      </c>
      <c r="AH11" s="2">
        <v>1.3245758938000001</v>
      </c>
      <c r="AI11" s="2">
        <v>0.9270037136</v>
      </c>
      <c r="AJ11" s="2">
        <v>1.8926583278</v>
      </c>
      <c r="AK11" s="1">
        <v>0.1226612357</v>
      </c>
      <c r="AL11" s="2" t="s">
        <v>38</v>
      </c>
      <c r="AM11" s="2" t="s">
        <v>38</v>
      </c>
      <c r="AN11" s="2" t="s">
        <v>38</v>
      </c>
      <c r="AO11" s="2" t="s">
        <v>38</v>
      </c>
      <c r="AP11" s="2" t="s">
        <v>107</v>
      </c>
      <c r="AQ11" s="2" t="s">
        <v>38</v>
      </c>
      <c r="AR11" s="2" t="s">
        <v>38</v>
      </c>
      <c r="AS11" s="2" t="s">
        <v>38</v>
      </c>
      <c r="AT11" s="2" t="s">
        <v>38</v>
      </c>
      <c r="AU11" s="2" t="s">
        <v>38</v>
      </c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</row>
    <row r="12" spans="1:62" x14ac:dyDescent="0.3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1"/>
      <c r="AE12" s="2"/>
      <c r="AF12" s="2"/>
      <c r="AG12" s="2"/>
      <c r="AH12" s="2"/>
      <c r="AI12" s="2"/>
      <c r="AJ12" s="2"/>
      <c r="AK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</row>
    <row r="13" spans="1:62" x14ac:dyDescent="0.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</row>
    <row r="14" spans="1:62" x14ac:dyDescent="0.3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</row>
    <row r="15" spans="1:62" x14ac:dyDescent="0.3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</row>
    <row r="16" spans="1:62" x14ac:dyDescent="0.3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90" zoomScaleNormal="90" workbookViewId="0">
      <selection activeCell="A2" sqref="A2"/>
    </sheetView>
  </sheetViews>
  <sheetFormatPr defaultRowHeight="14.4" x14ac:dyDescent="0.3"/>
  <cols>
    <col min="1" max="1" width="36.5546875" customWidth="1"/>
    <col min="2" max="2" width="15.109375" customWidth="1"/>
    <col min="3" max="3" width="10.109375" bestFit="1" customWidth="1"/>
    <col min="4" max="4" width="14.109375" bestFit="1" customWidth="1"/>
    <col min="5" max="5" width="23.6640625" bestFit="1" customWidth="1"/>
    <col min="6" max="6" width="22.5546875" bestFit="1" customWidth="1"/>
    <col min="7" max="7" width="23.109375" bestFit="1" customWidth="1"/>
    <col min="8" max="8" width="22.33203125" bestFit="1" customWidth="1"/>
    <col min="9" max="12" width="12" style="2" bestFit="1" customWidth="1"/>
    <col min="13" max="13" width="12" bestFit="1" customWidth="1"/>
    <col min="14" max="14" width="21.6640625" style="2" bestFit="1" customWidth="1"/>
    <col min="15" max="15" width="12" bestFit="1" customWidth="1"/>
    <col min="16" max="16" width="26.109375" bestFit="1" customWidth="1"/>
    <col min="17" max="17" width="20.5546875" bestFit="1" customWidth="1"/>
    <col min="18" max="18" width="21.109375" bestFit="1" customWidth="1"/>
    <col min="19" max="19" width="20.33203125" bestFit="1" customWidth="1"/>
    <col min="20" max="20" width="10.33203125" bestFit="1" customWidth="1"/>
    <col min="21" max="21" width="8.44140625" bestFit="1" customWidth="1"/>
    <col min="22" max="22" width="19.6640625" bestFit="1" customWidth="1"/>
    <col min="23" max="23" width="14.6640625" bestFit="1" customWidth="1"/>
    <col min="24" max="24" width="12.6640625" bestFit="1" customWidth="1"/>
    <col min="25" max="25" width="24.109375" bestFit="1" customWidth="1"/>
  </cols>
  <sheetData>
    <row r="1" spans="1:25" x14ac:dyDescent="0.3">
      <c r="A1" t="s">
        <v>202</v>
      </c>
      <c r="B1" s="2"/>
      <c r="C1" s="2"/>
      <c r="D1" s="2"/>
      <c r="E1" s="2"/>
      <c r="F1" s="2"/>
      <c r="G1" s="2"/>
      <c r="H1" s="2"/>
      <c r="M1" s="2"/>
      <c r="O1" s="2"/>
    </row>
    <row r="2" spans="1:25" x14ac:dyDescent="0.3">
      <c r="B2" s="2"/>
      <c r="C2" s="2"/>
      <c r="D2" s="2"/>
      <c r="E2" s="2"/>
      <c r="F2" s="2"/>
      <c r="G2" s="2"/>
      <c r="H2" s="2"/>
      <c r="M2" s="2"/>
      <c r="O2" s="2"/>
      <c r="P2" s="2"/>
    </row>
    <row r="3" spans="1:25" x14ac:dyDescent="0.3">
      <c r="A3" t="s">
        <v>196</v>
      </c>
    </row>
    <row r="4" spans="1:25" x14ac:dyDescent="0.3">
      <c r="A4" t="s">
        <v>41</v>
      </c>
      <c r="B4" t="s">
        <v>203</v>
      </c>
      <c r="C4" t="s">
        <v>148</v>
      </c>
      <c r="D4" t="s">
        <v>149</v>
      </c>
      <c r="E4" t="s">
        <v>168</v>
      </c>
      <c r="F4" t="s">
        <v>169</v>
      </c>
      <c r="G4" t="s">
        <v>170</v>
      </c>
      <c r="H4" t="s">
        <v>171</v>
      </c>
      <c r="I4" s="2" t="s">
        <v>172</v>
      </c>
      <c r="J4" s="2" t="s">
        <v>173</v>
      </c>
      <c r="K4" s="2" t="s">
        <v>150</v>
      </c>
      <c r="L4" s="2" t="s">
        <v>108</v>
      </c>
      <c r="M4" t="s">
        <v>109</v>
      </c>
      <c r="N4" s="2" t="s">
        <v>110</v>
      </c>
      <c r="O4" t="s">
        <v>147</v>
      </c>
      <c r="P4" t="s">
        <v>174</v>
      </c>
      <c r="Q4" t="s">
        <v>175</v>
      </c>
      <c r="R4" t="s">
        <v>176</v>
      </c>
      <c r="S4" t="s">
        <v>177</v>
      </c>
      <c r="T4" t="s">
        <v>178</v>
      </c>
      <c r="U4" s="59" t="s">
        <v>106</v>
      </c>
      <c r="V4" s="59" t="s">
        <v>179</v>
      </c>
      <c r="W4" t="s">
        <v>180</v>
      </c>
      <c r="X4" t="s">
        <v>181</v>
      </c>
      <c r="Y4" s="59" t="s">
        <v>182</v>
      </c>
    </row>
    <row r="5" spans="1:25" x14ac:dyDescent="0.3">
      <c r="A5" t="s">
        <v>152</v>
      </c>
      <c r="B5">
        <v>9</v>
      </c>
      <c r="C5">
        <v>881</v>
      </c>
      <c r="D5">
        <v>10.215664018</v>
      </c>
      <c r="E5">
        <v>5.3153608498000002</v>
      </c>
      <c r="F5">
        <v>19.633623056000001</v>
      </c>
      <c r="G5">
        <v>1.1462784189999999</v>
      </c>
      <c r="H5">
        <v>0.57967476110000005</v>
      </c>
      <c r="I5" s="2">
        <v>2.2667093723999998</v>
      </c>
      <c r="J5" s="2">
        <v>0.69472624599999999</v>
      </c>
      <c r="K5" s="2" t="s">
        <v>38</v>
      </c>
      <c r="L5" s="2">
        <v>0.62059735140000005</v>
      </c>
      <c r="M5">
        <v>0.2715887864</v>
      </c>
      <c r="N5" s="2">
        <v>1.4181037353999999</v>
      </c>
      <c r="O5">
        <v>0.25785417630000002</v>
      </c>
      <c r="P5">
        <v>1.3024971622999999</v>
      </c>
      <c r="Q5">
        <v>0.46361148029999999</v>
      </c>
      <c r="R5">
        <v>3.6593115788000001</v>
      </c>
      <c r="S5">
        <v>0.61605985119999995</v>
      </c>
      <c r="T5" t="s">
        <v>38</v>
      </c>
      <c r="U5" s="59" t="s">
        <v>38</v>
      </c>
      <c r="V5" s="59" t="s">
        <v>38</v>
      </c>
      <c r="W5" t="s">
        <v>38</v>
      </c>
      <c r="X5" t="s">
        <v>38</v>
      </c>
      <c r="Y5" s="59" t="s">
        <v>38</v>
      </c>
    </row>
    <row r="6" spans="1:25" x14ac:dyDescent="0.3">
      <c r="A6" t="s">
        <v>155</v>
      </c>
      <c r="B6" t="s">
        <v>38</v>
      </c>
      <c r="C6" t="s">
        <v>38</v>
      </c>
      <c r="D6" t="s">
        <v>38</v>
      </c>
      <c r="E6" t="s">
        <v>38</v>
      </c>
      <c r="F6" t="s">
        <v>38</v>
      </c>
      <c r="G6" t="s">
        <v>38</v>
      </c>
      <c r="H6" t="s">
        <v>38</v>
      </c>
      <c r="I6" s="2" t="s">
        <v>38</v>
      </c>
      <c r="J6" s="2" t="s">
        <v>38</v>
      </c>
      <c r="K6" s="2" t="s">
        <v>38</v>
      </c>
      <c r="L6" s="2" t="s">
        <v>38</v>
      </c>
      <c r="M6" t="s">
        <v>38</v>
      </c>
      <c r="N6" s="2" t="s">
        <v>38</v>
      </c>
      <c r="O6" t="s">
        <v>38</v>
      </c>
      <c r="P6" t="s">
        <v>38</v>
      </c>
      <c r="Q6">
        <v>0.16852854249999999</v>
      </c>
      <c r="R6">
        <v>2.9507532546999999</v>
      </c>
      <c r="S6">
        <v>0.63244263639999998</v>
      </c>
      <c r="T6" t="s">
        <v>38</v>
      </c>
      <c r="U6" s="59" t="s">
        <v>38</v>
      </c>
      <c r="V6" s="59" t="s">
        <v>38</v>
      </c>
      <c r="W6" t="s">
        <v>158</v>
      </c>
      <c r="X6" t="s">
        <v>158</v>
      </c>
      <c r="Y6" s="59" t="s">
        <v>158</v>
      </c>
    </row>
    <row r="7" spans="1:25" x14ac:dyDescent="0.3">
      <c r="A7" t="s">
        <v>151</v>
      </c>
      <c r="B7">
        <v>15</v>
      </c>
      <c r="C7">
        <v>1525</v>
      </c>
      <c r="D7">
        <v>9.8360655737999991</v>
      </c>
      <c r="E7">
        <v>5.9298283484000001</v>
      </c>
      <c r="F7">
        <v>16.315512067</v>
      </c>
      <c r="G7">
        <v>1.1036844668000001</v>
      </c>
      <c r="H7" s="1">
        <v>0.64166763059999998</v>
      </c>
      <c r="I7" s="2">
        <v>1.8983650478</v>
      </c>
      <c r="J7" s="2">
        <v>0.7214459191</v>
      </c>
      <c r="K7" s="2" t="s">
        <v>38</v>
      </c>
      <c r="L7" s="2">
        <v>0.64454775990000002</v>
      </c>
      <c r="M7">
        <v>0.31509408160000002</v>
      </c>
      <c r="N7" s="2">
        <v>1.3184691147000001</v>
      </c>
      <c r="O7">
        <v>0.229047477</v>
      </c>
      <c r="P7">
        <v>1.3554098361</v>
      </c>
      <c r="Q7" s="2">
        <v>0.49262000709999998</v>
      </c>
      <c r="R7">
        <v>3.7293163033000001</v>
      </c>
      <c r="S7">
        <v>0.55593197149999996</v>
      </c>
      <c r="T7" t="s">
        <v>38</v>
      </c>
      <c r="U7" s="59" t="s">
        <v>38</v>
      </c>
      <c r="V7" s="59" t="s">
        <v>38</v>
      </c>
      <c r="W7" t="s">
        <v>38</v>
      </c>
      <c r="X7" t="s">
        <v>38</v>
      </c>
      <c r="Y7" s="59" t="s">
        <v>38</v>
      </c>
    </row>
    <row r="8" spans="1:25" x14ac:dyDescent="0.3">
      <c r="A8" t="s">
        <v>5</v>
      </c>
      <c r="B8">
        <v>15</v>
      </c>
      <c r="C8">
        <v>2366</v>
      </c>
      <c r="D8">
        <v>6.3398140320999996</v>
      </c>
      <c r="E8">
        <v>3.8220575788</v>
      </c>
      <c r="F8">
        <v>10.516126755</v>
      </c>
      <c r="G8">
        <v>0.71137735079999997</v>
      </c>
      <c r="H8">
        <v>0.41358543390000002</v>
      </c>
      <c r="I8" s="2">
        <v>1.2235869391</v>
      </c>
      <c r="J8" s="2">
        <v>0.21842566799999999</v>
      </c>
      <c r="K8" s="2">
        <v>1</v>
      </c>
      <c r="L8" s="2" t="s">
        <v>38</v>
      </c>
      <c r="M8" s="1" t="s">
        <v>38</v>
      </c>
      <c r="N8" s="2" t="s">
        <v>38</v>
      </c>
      <c r="O8" t="s">
        <v>38</v>
      </c>
      <c r="P8">
        <v>0.77583474220000004</v>
      </c>
      <c r="Q8" s="2">
        <v>0.3289389492</v>
      </c>
      <c r="R8">
        <v>1.8298822582000001</v>
      </c>
      <c r="S8">
        <v>0.56207916579999995</v>
      </c>
      <c r="T8" t="s">
        <v>38</v>
      </c>
      <c r="U8" s="59" t="s">
        <v>38</v>
      </c>
      <c r="V8" s="59" t="s">
        <v>38</v>
      </c>
      <c r="W8" t="s">
        <v>38</v>
      </c>
      <c r="X8" t="s">
        <v>38</v>
      </c>
      <c r="Y8" s="59" t="s">
        <v>38</v>
      </c>
    </row>
    <row r="9" spans="1:25" x14ac:dyDescent="0.3">
      <c r="A9" t="s">
        <v>6</v>
      </c>
      <c r="B9">
        <v>17</v>
      </c>
      <c r="C9">
        <v>1589</v>
      </c>
      <c r="D9">
        <v>10.698552549</v>
      </c>
      <c r="E9">
        <v>6.6508679601000003</v>
      </c>
      <c r="F9">
        <v>17.209637497999999</v>
      </c>
      <c r="G9">
        <v>1.200462337</v>
      </c>
      <c r="H9">
        <v>0.71812984290000004</v>
      </c>
      <c r="I9" s="2">
        <v>2.0067538436999999</v>
      </c>
      <c r="J9" s="2">
        <v>0.48583695180000003</v>
      </c>
      <c r="K9" s="2" t="s">
        <v>38</v>
      </c>
      <c r="L9" s="2">
        <v>0.5925861469</v>
      </c>
      <c r="M9" s="1">
        <v>0.29594894199999999</v>
      </c>
      <c r="N9" s="2">
        <v>1.1865504202999999</v>
      </c>
      <c r="O9">
        <v>0.13964707679999999</v>
      </c>
      <c r="P9">
        <v>1.6567472804000001</v>
      </c>
      <c r="Q9" s="2">
        <v>0.68705461430000003</v>
      </c>
      <c r="R9">
        <v>3.9950412879999999</v>
      </c>
      <c r="S9">
        <v>0.26093699250000002</v>
      </c>
      <c r="T9" t="s">
        <v>38</v>
      </c>
      <c r="U9" s="59" t="s">
        <v>38</v>
      </c>
      <c r="V9" s="59" t="s">
        <v>38</v>
      </c>
      <c r="W9" t="s">
        <v>38</v>
      </c>
      <c r="X9" t="s">
        <v>38</v>
      </c>
      <c r="Y9" s="59" t="s">
        <v>38</v>
      </c>
    </row>
    <row r="10" spans="1:25" x14ac:dyDescent="0.3">
      <c r="A10" t="s">
        <v>156</v>
      </c>
      <c r="B10">
        <v>9</v>
      </c>
      <c r="C10">
        <v>658</v>
      </c>
      <c r="D10">
        <v>13.677811549999999</v>
      </c>
      <c r="E10">
        <v>7.1167673383999999</v>
      </c>
      <c r="F10">
        <v>26.287571295999999</v>
      </c>
      <c r="G10">
        <v>1.5347587949999999</v>
      </c>
      <c r="H10">
        <v>0.77612988520000004</v>
      </c>
      <c r="I10" s="2">
        <v>3.0349102692000001</v>
      </c>
      <c r="J10" s="2">
        <v>0.2181639963</v>
      </c>
      <c r="K10" s="2" t="s">
        <v>38</v>
      </c>
      <c r="L10" s="2">
        <v>0.46351084809999998</v>
      </c>
      <c r="M10" s="1">
        <v>0.20284383819999999</v>
      </c>
      <c r="N10" s="2">
        <v>1.0591512574999999</v>
      </c>
      <c r="O10">
        <v>6.8202442299999999E-2</v>
      </c>
      <c r="P10">
        <v>1.0395136778</v>
      </c>
      <c r="Q10" s="2">
        <v>0.40107039319999999</v>
      </c>
      <c r="R10">
        <v>2.6942619164999999</v>
      </c>
      <c r="S10">
        <v>0.93643371539999998</v>
      </c>
      <c r="T10" t="s">
        <v>38</v>
      </c>
      <c r="U10" s="59" t="s">
        <v>38</v>
      </c>
      <c r="V10" s="59" t="s">
        <v>38</v>
      </c>
      <c r="W10" t="s">
        <v>38</v>
      </c>
      <c r="X10" t="s">
        <v>38</v>
      </c>
      <c r="Y10" s="59" t="s">
        <v>38</v>
      </c>
    </row>
    <row r="11" spans="1:25" x14ac:dyDescent="0.3">
      <c r="A11" t="s">
        <v>153</v>
      </c>
      <c r="B11">
        <v>12</v>
      </c>
      <c r="C11">
        <v>1493</v>
      </c>
      <c r="D11">
        <v>8.0375083723999996</v>
      </c>
      <c r="E11">
        <v>4.5645788987999998</v>
      </c>
      <c r="F11">
        <v>14.15279312</v>
      </c>
      <c r="G11">
        <v>0.90187210279999996</v>
      </c>
      <c r="H11" s="1">
        <v>0.49572012920000003</v>
      </c>
      <c r="I11" s="2">
        <v>1.6407913293</v>
      </c>
      <c r="J11" s="2">
        <v>0.73517404549999998</v>
      </c>
      <c r="K11" s="2" t="s">
        <v>38</v>
      </c>
      <c r="L11" s="2">
        <v>0.78877852920000002</v>
      </c>
      <c r="M11" s="1">
        <v>1.6850935667</v>
      </c>
      <c r="N11" s="2">
        <v>0.36922078419999999</v>
      </c>
      <c r="O11">
        <v>0.54012252500000002</v>
      </c>
      <c r="P11">
        <v>0.7474882786</v>
      </c>
      <c r="Q11" s="2">
        <v>0.16729712190000001</v>
      </c>
      <c r="R11">
        <v>3.3397987982999999</v>
      </c>
      <c r="S11">
        <v>0.70316137759999997</v>
      </c>
      <c r="T11" t="s">
        <v>38</v>
      </c>
      <c r="U11" s="59" t="s">
        <v>38</v>
      </c>
      <c r="V11" s="59" t="s">
        <v>38</v>
      </c>
      <c r="W11" t="s">
        <v>38</v>
      </c>
      <c r="X11" t="s">
        <v>38</v>
      </c>
      <c r="Y11" s="59" t="s">
        <v>38</v>
      </c>
    </row>
    <row r="12" spans="1:25" x14ac:dyDescent="0.3">
      <c r="A12" t="s">
        <v>157</v>
      </c>
      <c r="B12">
        <v>11</v>
      </c>
      <c r="C12">
        <v>879</v>
      </c>
      <c r="D12">
        <v>12.514220705</v>
      </c>
      <c r="E12">
        <v>6.9303774498999999</v>
      </c>
      <c r="F12">
        <v>22.596997205000001</v>
      </c>
      <c r="G12">
        <v>1.4041946857000001</v>
      </c>
      <c r="H12" s="1">
        <v>0.75364305220000005</v>
      </c>
      <c r="I12" s="2">
        <v>2.6163084891000001</v>
      </c>
      <c r="J12" s="2">
        <v>0.28499869929999999</v>
      </c>
      <c r="K12" s="2" t="s">
        <v>38</v>
      </c>
      <c r="L12" s="2">
        <v>0.50660877579999997</v>
      </c>
      <c r="M12">
        <v>0.2326919372</v>
      </c>
      <c r="N12" s="2">
        <v>1.1029709702999999</v>
      </c>
      <c r="O12">
        <v>8.6700054600000007E-2</v>
      </c>
      <c r="P12">
        <v>6.8077360637000002</v>
      </c>
      <c r="Q12" s="2">
        <v>0.87892474860000003</v>
      </c>
      <c r="R12">
        <v>52.729508850999999</v>
      </c>
      <c r="S12">
        <v>6.6298183199999999E-2</v>
      </c>
      <c r="T12" t="s">
        <v>38</v>
      </c>
      <c r="U12" s="59" t="s">
        <v>38</v>
      </c>
      <c r="V12" s="59" t="s">
        <v>38</v>
      </c>
      <c r="W12" t="s">
        <v>38</v>
      </c>
      <c r="X12" t="s">
        <v>38</v>
      </c>
      <c r="Y12" s="59" t="s">
        <v>38</v>
      </c>
    </row>
    <row r="13" spans="1:25" x14ac:dyDescent="0.3">
      <c r="A13" t="s">
        <v>154</v>
      </c>
      <c r="B13">
        <v>7</v>
      </c>
      <c r="C13">
        <v>770</v>
      </c>
      <c r="D13">
        <v>9.0909090909000003</v>
      </c>
      <c r="E13">
        <v>4.3339447659000001</v>
      </c>
      <c r="F13">
        <v>19.069146601</v>
      </c>
      <c r="G13">
        <v>1.0200720072</v>
      </c>
      <c r="H13">
        <v>0.47418170430000001</v>
      </c>
      <c r="I13" s="2">
        <v>2.1944054156999999</v>
      </c>
      <c r="J13" s="2">
        <v>0.95944736990000001</v>
      </c>
      <c r="K13" s="2" t="s">
        <v>38</v>
      </c>
      <c r="L13" s="2">
        <v>0.69737954349999998</v>
      </c>
      <c r="M13" s="1">
        <v>1.7103943275</v>
      </c>
      <c r="N13" s="2">
        <v>0.28434275060000003</v>
      </c>
      <c r="O13">
        <v>0.43104415909999999</v>
      </c>
      <c r="P13">
        <v>2.6227272727000002</v>
      </c>
      <c r="Q13" s="2">
        <v>0.54484577519999999</v>
      </c>
      <c r="R13">
        <v>12.625037507</v>
      </c>
      <c r="S13">
        <v>0.229136164</v>
      </c>
      <c r="T13" t="s">
        <v>38</v>
      </c>
      <c r="U13" s="59" t="s">
        <v>38</v>
      </c>
      <c r="V13" s="59" t="s">
        <v>38</v>
      </c>
      <c r="W13" t="s">
        <v>38</v>
      </c>
      <c r="X13" t="s">
        <v>38</v>
      </c>
      <c r="Y13" s="59" t="s">
        <v>38</v>
      </c>
    </row>
    <row r="14" spans="1:25" x14ac:dyDescent="0.3">
      <c r="A14" t="s">
        <v>48</v>
      </c>
      <c r="B14" t="s">
        <v>38</v>
      </c>
      <c r="C14" t="s">
        <v>38</v>
      </c>
      <c r="D14" t="s">
        <v>38</v>
      </c>
      <c r="E14" t="s">
        <v>38</v>
      </c>
      <c r="F14" t="s">
        <v>38</v>
      </c>
      <c r="G14" t="s">
        <v>38</v>
      </c>
      <c r="H14" t="s">
        <v>38</v>
      </c>
      <c r="I14" s="2" t="s">
        <v>38</v>
      </c>
      <c r="J14" s="2" t="s">
        <v>38</v>
      </c>
      <c r="K14" s="2" t="s">
        <v>38</v>
      </c>
      <c r="L14" s="2" t="s">
        <v>38</v>
      </c>
      <c r="M14" t="s">
        <v>38</v>
      </c>
      <c r="N14" s="2" t="s">
        <v>38</v>
      </c>
      <c r="O14" t="s">
        <v>38</v>
      </c>
      <c r="P14" t="s">
        <v>38</v>
      </c>
      <c r="Q14" s="2">
        <v>590638007.80999994</v>
      </c>
      <c r="R14">
        <v>1213081002</v>
      </c>
      <c r="S14" s="1">
        <v>1E-100</v>
      </c>
      <c r="T14" t="s">
        <v>38</v>
      </c>
      <c r="U14" s="59" t="s">
        <v>38</v>
      </c>
      <c r="V14" s="59" t="s">
        <v>38</v>
      </c>
      <c r="W14" t="s">
        <v>158</v>
      </c>
      <c r="X14" t="s">
        <v>158</v>
      </c>
      <c r="Y14" s="59" t="s">
        <v>158</v>
      </c>
    </row>
    <row r="15" spans="1:25" x14ac:dyDescent="0.3">
      <c r="A15" t="s">
        <v>183</v>
      </c>
      <c r="B15">
        <v>101</v>
      </c>
      <c r="C15">
        <v>11333</v>
      </c>
      <c r="D15">
        <v>8.9120268242999998</v>
      </c>
      <c r="E15">
        <v>7.3329507104999996</v>
      </c>
      <c r="F15">
        <v>10.831140867</v>
      </c>
      <c r="G15" t="s">
        <v>38</v>
      </c>
      <c r="H15" s="1" t="s">
        <v>38</v>
      </c>
      <c r="I15" s="2" t="s">
        <v>38</v>
      </c>
      <c r="J15" s="2" t="s">
        <v>38</v>
      </c>
      <c r="K15" s="2" t="s">
        <v>38</v>
      </c>
      <c r="L15" s="2" t="s">
        <v>38</v>
      </c>
      <c r="M15" s="1" t="s">
        <v>38</v>
      </c>
      <c r="N15" s="2" t="s">
        <v>38</v>
      </c>
      <c r="O15" t="s">
        <v>38</v>
      </c>
      <c r="P15">
        <v>1.2623249423</v>
      </c>
      <c r="Q15" s="2">
        <v>0.88081957600000005</v>
      </c>
      <c r="R15">
        <v>1.8090699883000001</v>
      </c>
      <c r="S15">
        <v>0.20451597299999999</v>
      </c>
      <c r="T15" t="s">
        <v>38</v>
      </c>
      <c r="U15" s="59" t="s">
        <v>38</v>
      </c>
      <c r="V15" s="59" t="s">
        <v>38</v>
      </c>
      <c r="W15" t="s">
        <v>38</v>
      </c>
      <c r="X15" t="s">
        <v>38</v>
      </c>
      <c r="Y15" s="59" t="s">
        <v>38</v>
      </c>
    </row>
    <row r="16" spans="1:25" x14ac:dyDescent="0.3">
      <c r="A16" t="s">
        <v>152</v>
      </c>
      <c r="B16">
        <v>6</v>
      </c>
      <c r="C16">
        <v>765</v>
      </c>
      <c r="D16">
        <v>7.8431372549000002</v>
      </c>
      <c r="E16">
        <v>3.5236132982999999</v>
      </c>
      <c r="F16">
        <v>17.457875422000001</v>
      </c>
      <c r="G16">
        <v>1.1109243697</v>
      </c>
      <c r="H16">
        <v>0.47226926609999997</v>
      </c>
      <c r="I16" s="2">
        <v>2.6132400386999999</v>
      </c>
      <c r="J16" s="2">
        <v>0.80953485189999996</v>
      </c>
      <c r="K16" s="2" t="s">
        <v>38</v>
      </c>
      <c r="L16" s="2">
        <v>0.82333948339999996</v>
      </c>
      <c r="M16">
        <v>2.4498740851999998</v>
      </c>
      <c r="N16" s="2">
        <v>0.27670316160000002</v>
      </c>
      <c r="O16">
        <v>0.72679112000000001</v>
      </c>
      <c r="P16" t="s">
        <v>38</v>
      </c>
      <c r="Q16" s="2" t="s">
        <v>38</v>
      </c>
      <c r="R16" t="s">
        <v>38</v>
      </c>
      <c r="S16" t="s">
        <v>38</v>
      </c>
      <c r="T16" t="s">
        <v>38</v>
      </c>
      <c r="U16" s="59" t="s">
        <v>38</v>
      </c>
      <c r="V16" s="59" t="s">
        <v>38</v>
      </c>
      <c r="W16" t="s">
        <v>38</v>
      </c>
      <c r="X16" t="s">
        <v>38</v>
      </c>
      <c r="Y16" s="59" t="s">
        <v>38</v>
      </c>
    </row>
    <row r="17" spans="1:25" x14ac:dyDescent="0.3">
      <c r="A17" t="s">
        <v>155</v>
      </c>
      <c r="B17" t="s">
        <v>38</v>
      </c>
      <c r="C17" t="s">
        <v>38</v>
      </c>
      <c r="D17" t="s">
        <v>38</v>
      </c>
      <c r="E17" t="s">
        <v>38</v>
      </c>
      <c r="F17" t="s">
        <v>38</v>
      </c>
      <c r="G17" t="s">
        <v>38</v>
      </c>
      <c r="H17" t="s">
        <v>38</v>
      </c>
      <c r="I17" s="2" t="s">
        <v>38</v>
      </c>
      <c r="J17" s="2" t="s">
        <v>38</v>
      </c>
      <c r="K17" s="2" t="s">
        <v>38</v>
      </c>
      <c r="L17" s="2" t="s">
        <v>38</v>
      </c>
      <c r="M17" t="s">
        <v>38</v>
      </c>
      <c r="N17" s="2" t="s">
        <v>38</v>
      </c>
      <c r="O17" t="s">
        <v>38</v>
      </c>
      <c r="P17" t="s">
        <v>38</v>
      </c>
      <c r="Q17" t="s">
        <v>38</v>
      </c>
      <c r="R17" t="s">
        <v>38</v>
      </c>
      <c r="S17" t="s">
        <v>38</v>
      </c>
      <c r="T17" t="s">
        <v>38</v>
      </c>
      <c r="U17" s="59" t="s">
        <v>38</v>
      </c>
      <c r="V17" s="59" t="s">
        <v>38</v>
      </c>
      <c r="W17" t="s">
        <v>158</v>
      </c>
      <c r="X17" t="s">
        <v>158</v>
      </c>
      <c r="Y17" s="59" t="s">
        <v>158</v>
      </c>
    </row>
    <row r="18" spans="1:25" x14ac:dyDescent="0.3">
      <c r="A18" t="s">
        <v>151</v>
      </c>
      <c r="B18" t="s">
        <v>38</v>
      </c>
      <c r="C18" t="s">
        <v>38</v>
      </c>
      <c r="D18" t="s">
        <v>38</v>
      </c>
      <c r="E18" t="s">
        <v>38</v>
      </c>
      <c r="F18" t="s">
        <v>38</v>
      </c>
      <c r="G18" t="s">
        <v>38</v>
      </c>
      <c r="H18" t="s">
        <v>38</v>
      </c>
      <c r="I18" s="2" t="s">
        <v>38</v>
      </c>
      <c r="J18" s="2" t="s">
        <v>38</v>
      </c>
      <c r="K18" s="2" t="s">
        <v>38</v>
      </c>
      <c r="L18" s="2" t="s">
        <v>38</v>
      </c>
      <c r="M18" t="s">
        <v>38</v>
      </c>
      <c r="N18" s="2" t="s">
        <v>38</v>
      </c>
      <c r="O18" t="s">
        <v>38</v>
      </c>
      <c r="P18" t="s">
        <v>38</v>
      </c>
      <c r="Q18" t="s">
        <v>38</v>
      </c>
      <c r="R18" t="s">
        <v>38</v>
      </c>
      <c r="S18" t="s">
        <v>38</v>
      </c>
      <c r="T18" t="s">
        <v>38</v>
      </c>
      <c r="U18" s="59" t="s">
        <v>38</v>
      </c>
      <c r="V18" s="59" t="s">
        <v>38</v>
      </c>
      <c r="W18" t="s">
        <v>158</v>
      </c>
      <c r="X18" t="s">
        <v>158</v>
      </c>
      <c r="Y18" s="59" t="s">
        <v>158</v>
      </c>
    </row>
    <row r="19" spans="1:25" x14ac:dyDescent="0.3">
      <c r="A19" t="s">
        <v>5</v>
      </c>
      <c r="B19">
        <v>8</v>
      </c>
      <c r="C19">
        <v>979</v>
      </c>
      <c r="D19">
        <v>8.1716036772000002</v>
      </c>
      <c r="E19">
        <v>4.0865997444</v>
      </c>
      <c r="F19">
        <v>16.340016353999999</v>
      </c>
      <c r="G19">
        <v>1.1574492922999999</v>
      </c>
      <c r="H19">
        <v>0.54343030000000003</v>
      </c>
      <c r="I19" s="2">
        <v>2.4652450629999998</v>
      </c>
      <c r="J19" s="2">
        <v>0.70465653650000004</v>
      </c>
      <c r="K19" s="2" t="s">
        <v>38</v>
      </c>
      <c r="L19" s="2">
        <v>0.7902444649</v>
      </c>
      <c r="M19">
        <v>2.1792151746999999</v>
      </c>
      <c r="N19" s="2">
        <v>0.28656477870000002</v>
      </c>
      <c r="O19">
        <v>0.64920924300000005</v>
      </c>
      <c r="P19" t="s">
        <v>38</v>
      </c>
      <c r="Q19" t="s">
        <v>38</v>
      </c>
      <c r="R19" t="s">
        <v>38</v>
      </c>
      <c r="S19" t="s">
        <v>38</v>
      </c>
      <c r="T19" t="s">
        <v>38</v>
      </c>
      <c r="U19" s="59" t="s">
        <v>38</v>
      </c>
      <c r="V19" s="59" t="s">
        <v>38</v>
      </c>
      <c r="W19" t="s">
        <v>38</v>
      </c>
      <c r="X19" t="s">
        <v>38</v>
      </c>
      <c r="Y19" s="59" t="s">
        <v>38</v>
      </c>
    </row>
    <row r="20" spans="1:25" x14ac:dyDescent="0.3">
      <c r="A20" t="s">
        <v>6</v>
      </c>
      <c r="B20">
        <v>7</v>
      </c>
      <c r="C20">
        <v>1084</v>
      </c>
      <c r="D20">
        <v>6.4575645756000002</v>
      </c>
      <c r="E20">
        <v>3.0785401012000002</v>
      </c>
      <c r="F20">
        <v>13.545427012999999</v>
      </c>
      <c r="G20">
        <v>0.91466789670000004</v>
      </c>
      <c r="H20">
        <v>0.41092433540000001</v>
      </c>
      <c r="I20" s="2">
        <v>2.0359401695999999</v>
      </c>
      <c r="J20" s="2">
        <v>0.82705485810000001</v>
      </c>
      <c r="K20" s="2">
        <v>1</v>
      </c>
      <c r="L20" s="2" t="s">
        <v>38</v>
      </c>
      <c r="M20" t="s">
        <v>38</v>
      </c>
      <c r="N20" s="2" t="s">
        <v>38</v>
      </c>
      <c r="O20" t="s">
        <v>38</v>
      </c>
      <c r="P20" t="s">
        <v>38</v>
      </c>
      <c r="Q20" t="s">
        <v>38</v>
      </c>
      <c r="R20" t="s">
        <v>38</v>
      </c>
      <c r="S20" t="s">
        <v>38</v>
      </c>
      <c r="T20" t="s">
        <v>38</v>
      </c>
      <c r="U20" s="59" t="s">
        <v>38</v>
      </c>
      <c r="V20" s="59" t="s">
        <v>38</v>
      </c>
      <c r="W20" t="s">
        <v>38</v>
      </c>
      <c r="X20" t="s">
        <v>38</v>
      </c>
      <c r="Y20" s="59" t="s">
        <v>38</v>
      </c>
    </row>
    <row r="21" spans="1:25" x14ac:dyDescent="0.3">
      <c r="A21" t="s">
        <v>156</v>
      </c>
      <c r="B21">
        <v>8</v>
      </c>
      <c r="C21">
        <v>608</v>
      </c>
      <c r="D21">
        <v>13.157894736999999</v>
      </c>
      <c r="E21">
        <v>6.5802321543</v>
      </c>
      <c r="F21">
        <v>26.310651333999999</v>
      </c>
      <c r="G21">
        <v>1.8637218044999999</v>
      </c>
      <c r="H21">
        <v>0.87503003899999998</v>
      </c>
      <c r="I21" s="2">
        <v>3.9695311129999999</v>
      </c>
      <c r="J21" s="2">
        <v>0.10654910889999999</v>
      </c>
      <c r="K21" s="2" t="s">
        <v>38</v>
      </c>
      <c r="L21" s="2">
        <v>0.49077490769999998</v>
      </c>
      <c r="M21">
        <v>0.1779687288</v>
      </c>
      <c r="N21" s="2">
        <v>1.3533838879</v>
      </c>
      <c r="O21">
        <v>0.1690478456</v>
      </c>
      <c r="P21" t="s">
        <v>38</v>
      </c>
      <c r="Q21" t="s">
        <v>38</v>
      </c>
      <c r="R21" t="s">
        <v>38</v>
      </c>
      <c r="S21" t="s">
        <v>38</v>
      </c>
      <c r="T21" t="s">
        <v>38</v>
      </c>
      <c r="U21" s="59" t="s">
        <v>38</v>
      </c>
      <c r="V21" s="59" t="s">
        <v>38</v>
      </c>
      <c r="W21" t="s">
        <v>38</v>
      </c>
      <c r="X21" t="s">
        <v>38</v>
      </c>
      <c r="Y21" s="59" t="s">
        <v>38</v>
      </c>
    </row>
    <row r="22" spans="1:25" x14ac:dyDescent="0.3">
      <c r="A22" t="s">
        <v>153</v>
      </c>
      <c r="B22" t="s">
        <v>38</v>
      </c>
      <c r="C22" t="s">
        <v>38</v>
      </c>
      <c r="D22" t="s">
        <v>38</v>
      </c>
      <c r="E22" t="s">
        <v>38</v>
      </c>
      <c r="F22" t="s">
        <v>38</v>
      </c>
      <c r="G22" t="s">
        <v>38</v>
      </c>
      <c r="H22" t="s">
        <v>38</v>
      </c>
      <c r="I22" s="2" t="s">
        <v>38</v>
      </c>
      <c r="J22" s="2" t="s">
        <v>38</v>
      </c>
      <c r="K22" s="2" t="s">
        <v>38</v>
      </c>
      <c r="L22" s="2" t="s">
        <v>38</v>
      </c>
      <c r="M22" t="s">
        <v>38</v>
      </c>
      <c r="N22" s="2" t="s">
        <v>38</v>
      </c>
      <c r="O22" t="s">
        <v>38</v>
      </c>
      <c r="P22" t="s">
        <v>38</v>
      </c>
      <c r="Q22" t="s">
        <v>38</v>
      </c>
      <c r="R22" t="s">
        <v>38</v>
      </c>
      <c r="S22" t="s">
        <v>38</v>
      </c>
      <c r="T22" t="s">
        <v>38</v>
      </c>
      <c r="U22" s="59" t="s">
        <v>38</v>
      </c>
      <c r="V22" s="59" t="s">
        <v>38</v>
      </c>
      <c r="W22" t="s">
        <v>158</v>
      </c>
      <c r="X22" t="s">
        <v>158</v>
      </c>
      <c r="Y22" s="59" t="s">
        <v>158</v>
      </c>
    </row>
    <row r="23" spans="1:25" x14ac:dyDescent="0.3">
      <c r="A23" t="s">
        <v>157</v>
      </c>
      <c r="B23" t="s">
        <v>38</v>
      </c>
      <c r="C23" t="s">
        <v>38</v>
      </c>
      <c r="D23" t="s">
        <v>38</v>
      </c>
      <c r="E23" t="s">
        <v>38</v>
      </c>
      <c r="F23" t="s">
        <v>38</v>
      </c>
      <c r="G23" t="s">
        <v>38</v>
      </c>
      <c r="H23" t="s">
        <v>38</v>
      </c>
      <c r="I23" s="2" t="s">
        <v>38</v>
      </c>
      <c r="J23" s="2" t="s">
        <v>38</v>
      </c>
      <c r="K23" s="2" t="s">
        <v>38</v>
      </c>
      <c r="L23" s="2" t="s">
        <v>38</v>
      </c>
      <c r="M23" t="s">
        <v>38</v>
      </c>
      <c r="N23" s="2" t="s">
        <v>38</v>
      </c>
      <c r="O23" t="s">
        <v>38</v>
      </c>
      <c r="P23" t="s">
        <v>38</v>
      </c>
      <c r="Q23" t="s">
        <v>38</v>
      </c>
      <c r="R23" t="s">
        <v>38</v>
      </c>
      <c r="S23" t="s">
        <v>38</v>
      </c>
      <c r="T23" t="s">
        <v>38</v>
      </c>
      <c r="U23" s="59" t="s">
        <v>38</v>
      </c>
      <c r="V23" s="59" t="s">
        <v>38</v>
      </c>
      <c r="W23" t="s">
        <v>158</v>
      </c>
      <c r="X23" t="s">
        <v>158</v>
      </c>
      <c r="Y23" s="59" t="s">
        <v>158</v>
      </c>
    </row>
    <row r="24" spans="1:25" x14ac:dyDescent="0.3">
      <c r="A24" t="s">
        <v>154</v>
      </c>
      <c r="B24" t="s">
        <v>38</v>
      </c>
      <c r="C24" t="s">
        <v>38</v>
      </c>
      <c r="D24" t="s">
        <v>38</v>
      </c>
      <c r="E24" t="s">
        <v>38</v>
      </c>
      <c r="F24" t="s">
        <v>38</v>
      </c>
      <c r="G24" t="s">
        <v>38</v>
      </c>
      <c r="H24" t="s">
        <v>38</v>
      </c>
      <c r="I24" s="2" t="s">
        <v>38</v>
      </c>
      <c r="J24" s="2" t="s">
        <v>38</v>
      </c>
      <c r="K24" s="2" t="s">
        <v>38</v>
      </c>
      <c r="L24" s="2" t="s">
        <v>38</v>
      </c>
      <c r="M24" t="s">
        <v>38</v>
      </c>
      <c r="N24" s="2" t="s">
        <v>38</v>
      </c>
      <c r="O24" t="s">
        <v>38</v>
      </c>
      <c r="P24" t="s">
        <v>38</v>
      </c>
      <c r="Q24" t="s">
        <v>38</v>
      </c>
      <c r="R24" t="s">
        <v>38</v>
      </c>
      <c r="S24" t="s">
        <v>38</v>
      </c>
      <c r="T24" t="s">
        <v>38</v>
      </c>
      <c r="U24" s="59" t="s">
        <v>38</v>
      </c>
      <c r="V24" s="59" t="s">
        <v>38</v>
      </c>
      <c r="W24" t="s">
        <v>158</v>
      </c>
      <c r="X24" t="s">
        <v>158</v>
      </c>
      <c r="Y24" s="59" t="s">
        <v>158</v>
      </c>
    </row>
    <row r="25" spans="1:25" x14ac:dyDescent="0.3">
      <c r="A25" t="s">
        <v>48</v>
      </c>
      <c r="B25">
        <v>0</v>
      </c>
      <c r="C25">
        <v>41</v>
      </c>
      <c r="D25" s="1">
        <v>2.5136022000000001E-8</v>
      </c>
      <c r="E25" s="1">
        <v>3.4266260000000002E-9</v>
      </c>
      <c r="F25" s="1">
        <v>1.8438534000000001E-7</v>
      </c>
      <c r="G25" s="1">
        <v>3.5603379999999999E-9</v>
      </c>
      <c r="H25" s="1">
        <v>4.9669090000000005E-10</v>
      </c>
      <c r="I25" s="1">
        <v>2.5520916E-8</v>
      </c>
      <c r="J25" s="1">
        <v>1.7515669999999999E-83</v>
      </c>
      <c r="K25" s="2" t="s">
        <v>38</v>
      </c>
      <c r="L25" s="2">
        <v>256904795.87</v>
      </c>
      <c r="M25">
        <v>30653242.602000002</v>
      </c>
      <c r="N25" s="2">
        <v>2153118839.5</v>
      </c>
      <c r="O25" s="1">
        <v>2.7792750000000001E-71</v>
      </c>
      <c r="P25" t="s">
        <v>38</v>
      </c>
      <c r="Q25" t="s">
        <v>38</v>
      </c>
      <c r="R25" t="s">
        <v>38</v>
      </c>
      <c r="S25" t="s">
        <v>38</v>
      </c>
      <c r="T25" t="s">
        <v>132</v>
      </c>
      <c r="U25" s="59" t="s">
        <v>38</v>
      </c>
      <c r="V25" s="59" t="s">
        <v>38</v>
      </c>
      <c r="W25" t="s">
        <v>38</v>
      </c>
      <c r="X25" t="s">
        <v>38</v>
      </c>
      <c r="Y25" s="59" t="s">
        <v>38</v>
      </c>
    </row>
    <row r="26" spans="1:25" x14ac:dyDescent="0.3">
      <c r="A26" t="s">
        <v>184</v>
      </c>
      <c r="B26">
        <v>42</v>
      </c>
      <c r="C26">
        <v>5949</v>
      </c>
      <c r="D26">
        <v>7.0600100857000001</v>
      </c>
      <c r="E26">
        <v>5.2174953642000004</v>
      </c>
      <c r="F26">
        <v>9.5531934253999999</v>
      </c>
      <c r="G26" t="s">
        <v>38</v>
      </c>
      <c r="H26" t="s">
        <v>38</v>
      </c>
      <c r="I26" s="2" t="s">
        <v>38</v>
      </c>
      <c r="J26" s="2" t="s">
        <v>38</v>
      </c>
      <c r="K26" s="2" t="s">
        <v>38</v>
      </c>
      <c r="L26" s="2" t="s">
        <v>38</v>
      </c>
      <c r="M26" t="s">
        <v>38</v>
      </c>
      <c r="N26" s="2" t="s">
        <v>38</v>
      </c>
      <c r="O26" t="s">
        <v>38</v>
      </c>
      <c r="P26" t="s">
        <v>38</v>
      </c>
      <c r="Q26" t="s">
        <v>38</v>
      </c>
      <c r="R26" t="s">
        <v>38</v>
      </c>
      <c r="S26" t="s">
        <v>38</v>
      </c>
      <c r="T26" t="s">
        <v>38</v>
      </c>
      <c r="U26" t="s">
        <v>38</v>
      </c>
      <c r="V26" t="s">
        <v>38</v>
      </c>
      <c r="W26" t="s">
        <v>38</v>
      </c>
      <c r="X26" t="s">
        <v>38</v>
      </c>
      <c r="Y26" t="s">
        <v>38</v>
      </c>
    </row>
    <row r="28" spans="1:25" x14ac:dyDescent="0.3">
      <c r="A28" s="2"/>
      <c r="B28" s="2"/>
      <c r="C28" s="2"/>
    </row>
    <row r="29" spans="1:25" x14ac:dyDescent="0.3">
      <c r="A29" s="2"/>
      <c r="B29" s="2"/>
      <c r="C29" s="2"/>
    </row>
    <row r="30" spans="1:25" x14ac:dyDescent="0.3">
      <c r="A30" s="2"/>
      <c r="B30" s="2"/>
      <c r="C30" s="2"/>
    </row>
    <row r="42" spans="11:20" x14ac:dyDescent="0.3">
      <c r="K42" s="1"/>
      <c r="P42" s="1"/>
    </row>
    <row r="43" spans="11:20" x14ac:dyDescent="0.3">
      <c r="T43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workbookViewId="0">
      <selection activeCell="A2" sqref="A2"/>
    </sheetView>
  </sheetViews>
  <sheetFormatPr defaultRowHeight="14.4" x14ac:dyDescent="0.3"/>
  <cols>
    <col min="1" max="1" width="25.5546875" customWidth="1"/>
    <col min="2" max="2" width="10.5546875" customWidth="1"/>
    <col min="3" max="6" width="9.109375" customWidth="1"/>
    <col min="7" max="7" width="14" bestFit="1" customWidth="1"/>
    <col min="9" max="9" width="14" bestFit="1" customWidth="1"/>
    <col min="10" max="10" width="13.109375" bestFit="1" customWidth="1"/>
    <col min="11" max="11" width="13.5546875" bestFit="1" customWidth="1"/>
    <col min="12" max="12" width="12.44140625" bestFit="1" customWidth="1"/>
    <col min="13" max="13" width="14.5546875" bestFit="1" customWidth="1"/>
    <col min="14" max="14" width="13.6640625" bestFit="1" customWidth="1"/>
    <col min="15" max="15" width="14.109375" bestFit="1" customWidth="1"/>
    <col min="16" max="16" width="13.109375" bestFit="1" customWidth="1"/>
    <col min="17" max="17" width="11.88671875" bestFit="1" customWidth="1"/>
    <col min="18" max="18" width="12.44140625" bestFit="1" customWidth="1"/>
    <col min="19" max="19" width="8.88671875" bestFit="1" customWidth="1"/>
  </cols>
  <sheetData>
    <row r="1" spans="1:17" s="2" customFormat="1" x14ac:dyDescent="0.3">
      <c r="A1" s="2" t="s">
        <v>204</v>
      </c>
    </row>
    <row r="2" spans="1:17" s="2" customFormat="1" x14ac:dyDescent="0.3"/>
    <row r="3" spans="1:17" s="2" customFormat="1" x14ac:dyDescent="0.3">
      <c r="A3" s="2" t="s">
        <v>196</v>
      </c>
    </row>
    <row r="4" spans="1:17" s="2" customFormat="1" x14ac:dyDescent="0.3">
      <c r="A4" s="2" t="s">
        <v>53</v>
      </c>
      <c r="B4" s="2" t="s">
        <v>54</v>
      </c>
      <c r="C4" s="2" t="s">
        <v>159</v>
      </c>
      <c r="D4" s="2" t="s">
        <v>205</v>
      </c>
      <c r="E4" s="2" t="s">
        <v>56</v>
      </c>
      <c r="F4" s="2" t="s">
        <v>57</v>
      </c>
      <c r="G4" s="2" t="s">
        <v>12</v>
      </c>
      <c r="H4" s="2" t="s">
        <v>13</v>
      </c>
      <c r="I4" s="2" t="s">
        <v>14</v>
      </c>
      <c r="J4" s="2" t="s">
        <v>10</v>
      </c>
      <c r="K4" s="2" t="s">
        <v>18</v>
      </c>
      <c r="L4" s="2" t="s">
        <v>19</v>
      </c>
      <c r="M4" s="2" t="s">
        <v>20</v>
      </c>
      <c r="N4" s="2" t="s">
        <v>16</v>
      </c>
      <c r="O4" s="2" t="s">
        <v>31</v>
      </c>
      <c r="P4" s="2" t="s">
        <v>32</v>
      </c>
      <c r="Q4" s="2" t="s">
        <v>58</v>
      </c>
    </row>
    <row r="5" spans="1:17" s="2" customFormat="1" x14ac:dyDescent="0.3">
      <c r="A5" s="2" t="s">
        <v>62</v>
      </c>
      <c r="B5" s="2" t="s">
        <v>61</v>
      </c>
      <c r="C5" s="2" t="s">
        <v>160</v>
      </c>
      <c r="D5" s="2">
        <v>101</v>
      </c>
      <c r="E5" s="2">
        <v>11300</v>
      </c>
      <c r="F5" s="2">
        <v>8.9380530972999992</v>
      </c>
      <c r="G5" s="2" t="s">
        <v>38</v>
      </c>
      <c r="H5" s="2" t="s">
        <v>38</v>
      </c>
      <c r="I5" s="2" t="s">
        <v>38</v>
      </c>
      <c r="J5" s="2" t="s">
        <v>38</v>
      </c>
      <c r="K5" s="2" t="s">
        <v>38</v>
      </c>
      <c r="L5" s="2" t="s">
        <v>38</v>
      </c>
      <c r="M5" s="2" t="s">
        <v>38</v>
      </c>
      <c r="N5" s="2" t="s">
        <v>38</v>
      </c>
      <c r="O5" s="2" t="s">
        <v>38</v>
      </c>
      <c r="P5" s="2" t="s">
        <v>38</v>
      </c>
      <c r="Q5" s="2" t="s">
        <v>38</v>
      </c>
    </row>
    <row r="6" spans="1:17" s="2" customFormat="1" x14ac:dyDescent="0.3">
      <c r="A6" s="2" t="s">
        <v>60</v>
      </c>
      <c r="B6" s="2" t="s">
        <v>59</v>
      </c>
      <c r="C6" s="2" t="s">
        <v>160</v>
      </c>
      <c r="D6" s="2">
        <v>25</v>
      </c>
      <c r="E6" s="2">
        <v>4088</v>
      </c>
      <c r="F6" s="2">
        <v>6.1154598825999997</v>
      </c>
      <c r="G6" s="2" t="s">
        <v>38</v>
      </c>
      <c r="H6" s="2" t="s">
        <v>38</v>
      </c>
      <c r="I6" s="2" t="s">
        <v>38</v>
      </c>
      <c r="J6" s="2" t="s">
        <v>38</v>
      </c>
      <c r="K6" s="2" t="s">
        <v>38</v>
      </c>
      <c r="L6" s="2" t="s">
        <v>38</v>
      </c>
      <c r="M6" s="2" t="s">
        <v>38</v>
      </c>
      <c r="N6" s="2" t="s">
        <v>38</v>
      </c>
      <c r="O6" s="2" t="s">
        <v>38</v>
      </c>
      <c r="P6" s="2" t="s">
        <v>38</v>
      </c>
      <c r="Q6" s="2" t="s">
        <v>38</v>
      </c>
    </row>
    <row r="7" spans="1:17" s="2" customFormat="1" x14ac:dyDescent="0.3">
      <c r="A7" s="2" t="s">
        <v>60</v>
      </c>
      <c r="B7" s="2" t="s">
        <v>61</v>
      </c>
      <c r="C7" s="2" t="s">
        <v>160</v>
      </c>
      <c r="D7" s="2">
        <v>16</v>
      </c>
      <c r="E7" s="2">
        <v>2274</v>
      </c>
      <c r="F7" s="2">
        <v>7.0360598065</v>
      </c>
      <c r="G7" s="2" t="s">
        <v>38</v>
      </c>
      <c r="H7" s="2" t="s">
        <v>38</v>
      </c>
      <c r="I7" s="2" t="s">
        <v>38</v>
      </c>
      <c r="J7" s="2" t="s">
        <v>38</v>
      </c>
      <c r="K7" s="2" t="s">
        <v>38</v>
      </c>
      <c r="L7" s="2" t="s">
        <v>38</v>
      </c>
      <c r="M7" s="2" t="s">
        <v>38</v>
      </c>
      <c r="N7" s="2" t="s">
        <v>38</v>
      </c>
      <c r="O7" s="2" t="s">
        <v>38</v>
      </c>
      <c r="P7" s="2" t="s">
        <v>38</v>
      </c>
      <c r="Q7" s="2" t="s">
        <v>38</v>
      </c>
    </row>
    <row r="8" spans="1:17" s="2" customFormat="1" x14ac:dyDescent="0.3">
      <c r="A8" s="2" t="s">
        <v>49</v>
      </c>
      <c r="B8" s="2" t="s">
        <v>59</v>
      </c>
      <c r="C8" s="2" t="s">
        <v>161</v>
      </c>
      <c r="D8" s="2">
        <v>65</v>
      </c>
      <c r="E8" s="2">
        <v>7920</v>
      </c>
      <c r="F8" s="2">
        <v>8.2070707070999998</v>
      </c>
      <c r="G8" s="2" t="s">
        <v>38</v>
      </c>
      <c r="H8" s="2" t="s">
        <v>38</v>
      </c>
      <c r="I8" s="2" t="s">
        <v>38</v>
      </c>
      <c r="J8" s="2" t="s">
        <v>38</v>
      </c>
      <c r="K8" s="2">
        <v>0.74514526569999995</v>
      </c>
      <c r="L8" s="2">
        <v>4.4864854900000001E-2</v>
      </c>
      <c r="M8" s="2">
        <v>12.375866773</v>
      </c>
      <c r="N8" s="1">
        <v>0.83742197220000003</v>
      </c>
      <c r="O8" s="2" t="s">
        <v>38</v>
      </c>
      <c r="P8" s="2" t="s">
        <v>38</v>
      </c>
      <c r="Q8" s="2" t="s">
        <v>38</v>
      </c>
    </row>
    <row r="9" spans="1:17" s="2" customFormat="1" x14ac:dyDescent="0.3">
      <c r="A9" s="2" t="s">
        <v>49</v>
      </c>
      <c r="B9" s="2" t="s">
        <v>59</v>
      </c>
      <c r="C9" s="2" t="s">
        <v>162</v>
      </c>
      <c r="D9" s="2">
        <v>52</v>
      </c>
      <c r="E9" s="2">
        <v>8135</v>
      </c>
      <c r="F9" s="2">
        <v>6.3921327596999999</v>
      </c>
      <c r="G9" s="2" t="s">
        <v>38</v>
      </c>
      <c r="H9" s="2" t="s">
        <v>38</v>
      </c>
      <c r="I9" s="2" t="s">
        <v>38</v>
      </c>
      <c r="J9" s="2" t="s">
        <v>38</v>
      </c>
      <c r="K9" s="2">
        <v>0.95671665660000005</v>
      </c>
      <c r="L9" s="2">
        <v>5.7452298700000001E-2</v>
      </c>
      <c r="M9" s="2">
        <v>15.931595116</v>
      </c>
      <c r="N9" s="1">
        <v>0.97540128390000003</v>
      </c>
      <c r="O9" s="2" t="s">
        <v>38</v>
      </c>
      <c r="P9" s="2" t="s">
        <v>38</v>
      </c>
      <c r="Q9" s="2" t="s">
        <v>38</v>
      </c>
    </row>
    <row r="10" spans="1:17" s="2" customFormat="1" x14ac:dyDescent="0.3">
      <c r="A10" s="2" t="s">
        <v>49</v>
      </c>
      <c r="B10" s="2" t="s">
        <v>59</v>
      </c>
      <c r="C10" s="2" t="s">
        <v>163</v>
      </c>
      <c r="D10" s="2">
        <v>42</v>
      </c>
      <c r="E10" s="2">
        <v>7783</v>
      </c>
      <c r="F10" s="2">
        <v>5.3963767185</v>
      </c>
      <c r="G10" s="2" t="s">
        <v>38</v>
      </c>
      <c r="H10" s="2" t="s">
        <v>38</v>
      </c>
      <c r="I10" s="2" t="s">
        <v>38</v>
      </c>
      <c r="J10" s="2" t="s">
        <v>38</v>
      </c>
      <c r="K10" s="2">
        <v>1.1332529587</v>
      </c>
      <c r="L10" s="2">
        <v>6.7841227599999998E-2</v>
      </c>
      <c r="M10" s="2">
        <v>18.930410224999999</v>
      </c>
      <c r="N10" s="1">
        <v>0.93061157559999996</v>
      </c>
      <c r="O10" s="2" t="s">
        <v>38</v>
      </c>
      <c r="P10" s="2" t="s">
        <v>38</v>
      </c>
      <c r="Q10" s="2" t="s">
        <v>38</v>
      </c>
    </row>
    <row r="11" spans="1:17" s="2" customFormat="1" x14ac:dyDescent="0.3">
      <c r="A11" s="2" t="s">
        <v>49</v>
      </c>
      <c r="B11" s="2" t="s">
        <v>59</v>
      </c>
      <c r="C11" s="2" t="s">
        <v>164</v>
      </c>
      <c r="D11" s="2">
        <v>40</v>
      </c>
      <c r="E11" s="2">
        <v>7716</v>
      </c>
      <c r="F11" s="2">
        <v>5.1840331777999999</v>
      </c>
      <c r="G11" s="2" t="s">
        <v>38</v>
      </c>
      <c r="H11" s="2" t="s">
        <v>38</v>
      </c>
      <c r="I11" s="2" t="s">
        <v>38</v>
      </c>
      <c r="J11" s="2" t="s">
        <v>38</v>
      </c>
      <c r="K11" s="2">
        <v>1.1796722114</v>
      </c>
      <c r="L11" s="2">
        <v>7.0562758500000003E-2</v>
      </c>
      <c r="M11" s="2">
        <v>19.721827148999999</v>
      </c>
      <c r="N11" s="1">
        <v>0.90845594819999997</v>
      </c>
      <c r="O11" s="2" t="s">
        <v>38</v>
      </c>
      <c r="P11" s="2" t="s">
        <v>38</v>
      </c>
      <c r="Q11" s="2" t="s">
        <v>38</v>
      </c>
    </row>
    <row r="12" spans="1:17" s="2" customFormat="1" x14ac:dyDescent="0.3">
      <c r="A12" s="2" t="s">
        <v>49</v>
      </c>
      <c r="B12" s="2" t="s">
        <v>59</v>
      </c>
      <c r="C12" s="2" t="s">
        <v>165</v>
      </c>
      <c r="D12" s="2">
        <v>37</v>
      </c>
      <c r="E12" s="2">
        <v>6611</v>
      </c>
      <c r="F12" s="2">
        <v>5.5967327182000002</v>
      </c>
      <c r="G12" s="2" t="s">
        <v>38</v>
      </c>
      <c r="H12" s="2" t="s">
        <v>38</v>
      </c>
      <c r="I12" s="2" t="s">
        <v>38</v>
      </c>
      <c r="J12" s="2" t="s">
        <v>38</v>
      </c>
      <c r="K12" s="2">
        <v>1.0926839265999999</v>
      </c>
      <c r="L12" s="2">
        <v>6.5269240100000001E-2</v>
      </c>
      <c r="M12" s="2">
        <v>18.292815440999998</v>
      </c>
      <c r="N12" s="1">
        <v>0.95084056019999996</v>
      </c>
      <c r="O12" s="2" t="s">
        <v>38</v>
      </c>
      <c r="P12" s="2" t="s">
        <v>38</v>
      </c>
      <c r="Q12" s="2" t="s">
        <v>38</v>
      </c>
    </row>
    <row r="13" spans="1:17" s="2" customFormat="1" x14ac:dyDescent="0.3">
      <c r="A13" s="2" t="s">
        <v>49</v>
      </c>
      <c r="B13" s="2" t="s">
        <v>61</v>
      </c>
      <c r="C13" s="2" t="s">
        <v>161</v>
      </c>
      <c r="D13" s="2">
        <v>26</v>
      </c>
      <c r="E13" s="2">
        <v>3150</v>
      </c>
      <c r="F13" s="2">
        <v>8.2539682540000001</v>
      </c>
      <c r="G13" s="2">
        <v>1.0828795098999999</v>
      </c>
      <c r="H13" s="2">
        <v>6.5513656200000006E-2</v>
      </c>
      <c r="I13" s="2">
        <v>17.898986270000002</v>
      </c>
      <c r="J13" s="1">
        <v>0.95563351210000003</v>
      </c>
      <c r="K13" s="2">
        <v>0.85244570730000002</v>
      </c>
      <c r="L13" s="2">
        <v>4.9759514999999997E-2</v>
      </c>
      <c r="M13" s="2">
        <v>14.603512184</v>
      </c>
      <c r="N13" s="1">
        <v>0.91229768990000004</v>
      </c>
      <c r="O13" s="2" t="s">
        <v>38</v>
      </c>
      <c r="P13" s="2" t="s">
        <v>38</v>
      </c>
      <c r="Q13" s="2" t="s">
        <v>38</v>
      </c>
    </row>
    <row r="14" spans="1:17" s="2" customFormat="1" x14ac:dyDescent="0.3">
      <c r="A14" s="2" t="s">
        <v>49</v>
      </c>
      <c r="B14" s="2" t="s">
        <v>61</v>
      </c>
      <c r="C14" s="2" t="s">
        <v>162</v>
      </c>
      <c r="D14" s="2">
        <v>28</v>
      </c>
      <c r="E14" s="2">
        <v>4487</v>
      </c>
      <c r="F14" s="2">
        <v>6.2402496100000002</v>
      </c>
      <c r="G14" s="2">
        <v>1.4323230088000001</v>
      </c>
      <c r="H14" s="2">
        <v>8.6818024199999996E-2</v>
      </c>
      <c r="I14" s="2">
        <v>23.630452560999998</v>
      </c>
      <c r="J14" s="1">
        <v>0.80164932830000002</v>
      </c>
      <c r="K14" s="2">
        <v>1.127528584</v>
      </c>
      <c r="L14" s="2">
        <v>6.5939233999999999E-2</v>
      </c>
      <c r="M14" s="2">
        <v>19.28018617</v>
      </c>
      <c r="N14" s="1">
        <v>0.93396085120000005</v>
      </c>
      <c r="O14" s="2" t="s">
        <v>38</v>
      </c>
      <c r="P14" s="2" t="s">
        <v>38</v>
      </c>
      <c r="Q14" s="2" t="s">
        <v>38</v>
      </c>
    </row>
    <row r="15" spans="1:17" s="2" customFormat="1" x14ac:dyDescent="0.3">
      <c r="A15" s="2" t="s">
        <v>49</v>
      </c>
      <c r="B15" s="2" t="s">
        <v>61</v>
      </c>
      <c r="C15" s="2" t="s">
        <v>163</v>
      </c>
      <c r="D15" s="2">
        <v>35</v>
      </c>
      <c r="E15" s="2">
        <v>5185</v>
      </c>
      <c r="F15" s="2">
        <v>6.7502410800000003</v>
      </c>
      <c r="G15" s="2">
        <v>1.3241087230999999</v>
      </c>
      <c r="H15" s="2">
        <v>8.0652891300000001E-2</v>
      </c>
      <c r="I15" s="2">
        <v>21.738388817000001</v>
      </c>
      <c r="J15" s="1">
        <v>0.84411658440000004</v>
      </c>
      <c r="K15" s="2">
        <v>1.0423420027999999</v>
      </c>
      <c r="L15" s="2">
        <v>6.1252957199999999E-2</v>
      </c>
      <c r="M15" s="2">
        <v>17.737541173</v>
      </c>
      <c r="N15" s="1">
        <v>0.97712130450000001</v>
      </c>
      <c r="O15" s="2" t="s">
        <v>38</v>
      </c>
      <c r="P15" s="2" t="s">
        <v>38</v>
      </c>
      <c r="Q15" s="2" t="s">
        <v>38</v>
      </c>
    </row>
    <row r="16" spans="1:17" s="2" customFormat="1" x14ac:dyDescent="0.3">
      <c r="A16" s="2" t="s">
        <v>49</v>
      </c>
      <c r="B16" s="2" t="s">
        <v>61</v>
      </c>
      <c r="C16" s="2" t="s">
        <v>164</v>
      </c>
      <c r="D16" s="2">
        <v>32</v>
      </c>
      <c r="E16" s="2">
        <v>5739</v>
      </c>
      <c r="F16" s="2">
        <v>5.5758843004000003</v>
      </c>
      <c r="G16" s="2">
        <v>1.6029839602</v>
      </c>
      <c r="H16" s="2">
        <v>9.7460194299999997E-2</v>
      </c>
      <c r="I16" s="2">
        <v>26.365200622</v>
      </c>
      <c r="J16" s="1">
        <v>0.74118860909999995</v>
      </c>
      <c r="K16" s="2">
        <v>1.2618733509</v>
      </c>
      <c r="L16" s="2">
        <v>7.4019217400000004E-2</v>
      </c>
      <c r="M16" s="2">
        <v>21.512310028999998</v>
      </c>
      <c r="N16" s="1">
        <v>0.87229279449999997</v>
      </c>
      <c r="O16" s="2" t="s">
        <v>38</v>
      </c>
      <c r="P16" s="2" t="s">
        <v>38</v>
      </c>
      <c r="Q16" s="2" t="s">
        <v>38</v>
      </c>
    </row>
    <row r="17" spans="1:23" s="2" customFormat="1" x14ac:dyDescent="0.3">
      <c r="A17" s="2" t="s">
        <v>49</v>
      </c>
      <c r="B17" s="2" t="s">
        <v>61</v>
      </c>
      <c r="C17" s="2" t="s">
        <v>165</v>
      </c>
      <c r="D17" s="2">
        <v>26</v>
      </c>
      <c r="E17" s="2">
        <v>5481</v>
      </c>
      <c r="F17" s="2">
        <v>4.7436599161000004</v>
      </c>
      <c r="G17" s="2">
        <v>1.8842103472</v>
      </c>
      <c r="H17" s="2">
        <v>0.1139937618</v>
      </c>
      <c r="I17" s="2">
        <v>31.144236110000001</v>
      </c>
      <c r="J17" s="1">
        <v>0.6580271822</v>
      </c>
      <c r="K17" s="2">
        <v>1.4832555306999999</v>
      </c>
      <c r="L17" s="2">
        <v>8.6581556099999998E-2</v>
      </c>
      <c r="M17" s="2">
        <v>25.410111199999999</v>
      </c>
      <c r="N17" s="1">
        <v>0.78563067750000004</v>
      </c>
      <c r="O17" s="2" t="s">
        <v>38</v>
      </c>
      <c r="P17" s="2" t="s">
        <v>38</v>
      </c>
      <c r="Q17" s="2" t="s">
        <v>38</v>
      </c>
    </row>
    <row r="18" spans="1:23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3" x14ac:dyDescent="0.3">
      <c r="A19" s="2"/>
      <c r="B19" s="2"/>
    </row>
    <row r="20" spans="1:23" x14ac:dyDescent="0.3">
      <c r="A20" s="2"/>
      <c r="B20" s="2"/>
    </row>
    <row r="22" spans="1:23" x14ac:dyDescent="0.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7" spans="1:23" x14ac:dyDescent="0.3">
      <c r="P27" s="1"/>
      <c r="V27" s="2"/>
      <c r="W27" s="2"/>
    </row>
    <row r="28" spans="1:23" x14ac:dyDescent="0.3">
      <c r="P28" s="1"/>
      <c r="U28" s="2"/>
      <c r="V28" s="2"/>
      <c r="W28" s="2"/>
    </row>
    <row r="29" spans="1:23" x14ac:dyDescent="0.3">
      <c r="P29" s="1"/>
      <c r="U29" s="2"/>
      <c r="V29" s="2"/>
      <c r="W29" s="2"/>
    </row>
    <row r="30" spans="1:23" x14ac:dyDescent="0.3">
      <c r="P30" s="1"/>
      <c r="U30" s="2"/>
      <c r="V30" s="2"/>
      <c r="W30" s="2"/>
    </row>
    <row r="31" spans="1:23" x14ac:dyDescent="0.3">
      <c r="P31" s="1"/>
      <c r="U31" s="2"/>
      <c r="V31" s="2"/>
      <c r="W31" s="2"/>
    </row>
    <row r="32" spans="1:23" x14ac:dyDescent="0.3">
      <c r="N32" s="1"/>
      <c r="P32" s="1"/>
      <c r="U32" s="2"/>
      <c r="V32" s="2"/>
      <c r="W32" s="2"/>
    </row>
    <row r="33" spans="10:23" x14ac:dyDescent="0.3">
      <c r="N33" s="1"/>
      <c r="P33" s="1"/>
      <c r="U33" s="2"/>
      <c r="V33" s="2"/>
      <c r="W33" s="2"/>
    </row>
    <row r="34" spans="10:23" x14ac:dyDescent="0.3">
      <c r="L34" s="1"/>
      <c r="N34" s="1"/>
      <c r="P34" s="1"/>
      <c r="U34" s="2"/>
      <c r="V34" s="2"/>
      <c r="W34" s="2"/>
    </row>
    <row r="35" spans="10:23" x14ac:dyDescent="0.3">
      <c r="L35" s="1"/>
      <c r="N35" s="1"/>
      <c r="P35" s="1"/>
      <c r="U35" s="2"/>
      <c r="V35" s="2"/>
      <c r="W35" s="2"/>
    </row>
    <row r="36" spans="10:23" x14ac:dyDescent="0.3">
      <c r="L36" s="1"/>
      <c r="N36" s="1"/>
      <c r="P36" s="1"/>
      <c r="U36" s="2"/>
      <c r="V36" s="2"/>
      <c r="W36" s="2"/>
    </row>
    <row r="37" spans="10:23" x14ac:dyDescent="0.3">
      <c r="J37" s="1"/>
      <c r="L37" s="1"/>
      <c r="N37" s="1"/>
      <c r="P37" s="1"/>
      <c r="U37" s="2"/>
      <c r="V37" s="2"/>
      <c r="W37" s="2"/>
    </row>
    <row r="38" spans="10:23" x14ac:dyDescent="0.3">
      <c r="J38" s="1"/>
      <c r="L38" s="1"/>
      <c r="N38" s="1"/>
      <c r="P38" s="1"/>
      <c r="U38" s="2"/>
      <c r="V38" s="2"/>
      <c r="W38" s="2"/>
    </row>
    <row r="39" spans="10:23" x14ac:dyDescent="0.3">
      <c r="J39" s="1"/>
      <c r="L39" s="1"/>
      <c r="N39" s="1"/>
      <c r="P39" s="1"/>
      <c r="U39" s="2"/>
      <c r="V39" s="2"/>
      <c r="W39" s="2"/>
    </row>
    <row r="40" spans="10:23" x14ac:dyDescent="0.3">
      <c r="J40" s="1"/>
      <c r="L40" s="1"/>
      <c r="N40" s="1"/>
      <c r="P40" s="1"/>
      <c r="U40" s="2"/>
      <c r="V40" s="2"/>
      <c r="W40" s="2"/>
    </row>
    <row r="41" spans="10:23" x14ac:dyDescent="0.3">
      <c r="J41" s="1"/>
      <c r="L41" s="1"/>
      <c r="N41" s="1"/>
      <c r="P41" s="1"/>
      <c r="U41" s="2"/>
      <c r="V41" s="2"/>
      <c r="W41" s="2"/>
    </row>
    <row r="42" spans="10:23" x14ac:dyDescent="0.3">
      <c r="U42" s="2"/>
      <c r="V42" s="2"/>
      <c r="W4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Appendix Tables</vt:lpstr>
      <vt:lpstr>Dashboard</vt:lpstr>
      <vt:lpstr>Data_Sheet</vt:lpstr>
      <vt:lpstr>orig_rha</vt:lpstr>
      <vt:lpstr>orig_tribal</vt:lpstr>
      <vt:lpstr>orig_income</vt:lpstr>
      <vt:lpstr>RHA_Graph</vt:lpstr>
      <vt:lpstr>Income_quint_LH</vt:lpstr>
      <vt:lpstr>'Appendix Tables'!Print_Area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cp:lastPrinted>2020-10-20T14:50:11Z</cp:lastPrinted>
  <dcterms:created xsi:type="dcterms:W3CDTF">2014-11-19T15:50:24Z</dcterms:created>
  <dcterms:modified xsi:type="dcterms:W3CDTF">2020-10-30T16:52:13Z</dcterms:modified>
</cp:coreProperties>
</file>