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11295" windowHeight="6495" activeTab="0"/>
  </bookViews>
  <sheets>
    <sheet name="birth_w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<sst xmlns="http://schemas.openxmlformats.org/spreadsheetml/2006/main" count="173" uniqueCount="62">
  <si>
    <t>RHA</t>
  </si>
  <si>
    <t>Manitoba</t>
  </si>
  <si>
    <t>South Rural</t>
  </si>
  <si>
    <t>North</t>
  </si>
  <si>
    <t>Churchill</t>
  </si>
  <si>
    <t>Norman</t>
  </si>
  <si>
    <t>Burntwood</t>
  </si>
  <si>
    <t>Parkland</t>
  </si>
  <si>
    <t>Interlake</t>
  </si>
  <si>
    <t>North Eastman</t>
  </si>
  <si>
    <t>Marquette</t>
  </si>
  <si>
    <t>Winnipeg</t>
  </si>
  <si>
    <t>South Westman</t>
  </si>
  <si>
    <t>Brandon</t>
  </si>
  <si>
    <t>Central</t>
  </si>
  <si>
    <t>South Eastman</t>
  </si>
  <si>
    <t>data suppressed</t>
  </si>
  <si>
    <t>Compared to South Rural</t>
  </si>
  <si>
    <t>Compared to North</t>
  </si>
  <si>
    <t>Compared to Winnipeg</t>
  </si>
  <si>
    <t>Compared to Manitoba</t>
  </si>
  <si>
    <t>Hospitalization</t>
  </si>
  <si>
    <t>Hospitalization/Physician Visit</t>
  </si>
  <si>
    <t>Falls</t>
  </si>
  <si>
    <t>Violence by Self</t>
  </si>
  <si>
    <t>Violence Due to Others</t>
  </si>
  <si>
    <t>Motor Vehicle</t>
  </si>
  <si>
    <t>Other</t>
  </si>
  <si>
    <t>supp'd</t>
  </si>
  <si>
    <t>GP</t>
  </si>
  <si>
    <t>Paediatrician</t>
  </si>
  <si>
    <t>PSA</t>
  </si>
  <si>
    <t>Out of Province</t>
  </si>
  <si>
    <t>Unknown</t>
  </si>
  <si>
    <t>Psychostimulants</t>
  </si>
  <si>
    <t>Missing Data</t>
  </si>
  <si>
    <t>Any breastfeeding</t>
  </si>
  <si>
    <t>No breastfeeding</t>
  </si>
  <si>
    <t>7 year</t>
  </si>
  <si>
    <t>2 year</t>
  </si>
  <si>
    <t>1 year</t>
  </si>
  <si>
    <t xml:space="preserve">Percent Children (12-19 yrs) Regularly Exposed to Second-Hand Smoke at Home, 1996 </t>
  </si>
  <si>
    <t>Low Birth Weight (%), 1994-1998</t>
  </si>
  <si>
    <t>High Birth Weight (%), 1994-1998</t>
  </si>
  <si>
    <t>Antibiotics (1-4 prescriptions)</t>
  </si>
  <si>
    <t>Antibiotic (5+ prescriptions)</t>
  </si>
  <si>
    <t>Percent of Complete Immunizations - born F94-F97 (1 year) F94-F96 (2 years) 7 years (born 1989-91)</t>
  </si>
  <si>
    <r>
      <t>Infant Mortality Rate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Excluding Low Birth Weight/Gestation, 1994-1998</t>
    </r>
  </si>
  <si>
    <r>
      <t>Infant Mortality Rate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Including Low Birth Weight/Gestation, 1994-1998</t>
    </r>
  </si>
  <si>
    <t>Pre-term Births (&lt; 37 wks), 1994-1998 (% of live births)</t>
  </si>
  <si>
    <r>
      <t>Children Aged &lt; 1 Year with at least 1 contact for Lower Respiratory Tract Infection, 1998/99</t>
    </r>
    <r>
      <rPr>
        <b/>
        <sz val="10"/>
        <color indexed="10"/>
        <rFont val="Arial"/>
        <family val="2"/>
      </rPr>
      <t>*</t>
    </r>
  </si>
  <si>
    <r>
      <t>Rate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of Children (10-14 yrs) with at least 1 Contact or Prescription Drug for Asthma, 1998/99</t>
    </r>
  </si>
  <si>
    <r>
      <t>Injury Hospitalization Rates</t>
    </r>
    <r>
      <rPr>
        <b/>
        <sz val="10"/>
        <color indexed="10"/>
        <rFont val="Arial"/>
        <family val="2"/>
      </rPr>
      <t>**</t>
    </r>
    <r>
      <rPr>
        <b/>
        <sz val="10"/>
        <rFont val="Arial"/>
        <family val="2"/>
      </rPr>
      <t xml:space="preserve"> for children aged 0-19 years by cause of injury, 1994/95-1998/99</t>
    </r>
  </si>
  <si>
    <r>
      <t>Injury Mortality Rates</t>
    </r>
    <r>
      <rPr>
        <b/>
        <sz val="1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for Children (0-19 yrs), 1994-97</t>
    </r>
  </si>
  <si>
    <r>
      <t xml:space="preserve">* </t>
    </r>
    <r>
      <rPr>
        <sz val="10"/>
        <rFont val="Arial"/>
        <family val="2"/>
      </rPr>
      <t>= per 1,000,</t>
    </r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 xml:space="preserve">** </t>
    </r>
    <r>
      <rPr>
        <sz val="10"/>
        <rFont val="Arial"/>
        <family val="2"/>
      </rPr>
      <t>= per 10,000,</t>
    </r>
    <r>
      <rPr>
        <b/>
        <sz val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*** </t>
    </r>
    <r>
      <rPr>
        <sz val="10"/>
        <rFont val="Arial"/>
        <family val="2"/>
      </rPr>
      <t>= per 100,000</t>
    </r>
  </si>
  <si>
    <r>
      <t>Teen Pregnancy Rate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(15-19 yrs), 1994/95-1998/99  </t>
    </r>
  </si>
  <si>
    <r>
      <t>Physician Visit Rates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for Children (0-19 yrs):  Physician Specialty, 1998/99</t>
    </r>
  </si>
  <si>
    <t>Percent Physician Visits for Children (0-19 yrs): Visit Location, 1998/99</t>
  </si>
  <si>
    <r>
      <t>Rates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of Children (0-19 yrs) with One or More Prescriptions 1998/99 </t>
    </r>
  </si>
  <si>
    <t>Percent Breastfeeding Initiation, 1994-98</t>
  </si>
  <si>
    <t>Percent School Transfers Between Catchment Areas 1997/98</t>
  </si>
  <si>
    <t>Grade 3 Mean Math Scores (/100), 1998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</si>
</sst>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##"/>
    <numFmt numFmtId="165" formatCode="00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top" wrapText="1"/>
    </xf>
    <xf numFmtId="2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tabSelected="1" workbookViewId="0" topLeftCell="A1">
      <pane xSplit="1" ySplit="2" topLeftCell="AE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F12" sqref="AF12"/>
    </sheetView>
  </sheetViews>
  <sheetFormatPr defaultColWidth="9.140625" defaultRowHeight="12.75"/>
  <cols>
    <col min="1" max="1" width="16.140625" style="0" customWidth="1"/>
    <col min="2" max="2" width="20.57421875" style="1" customWidth="1"/>
    <col min="3" max="3" width="18.28125" style="1" customWidth="1"/>
    <col min="4" max="4" width="12.00390625" style="1" customWidth="1"/>
    <col min="5" max="5" width="12.140625" style="1" customWidth="1"/>
    <col min="6" max="7" width="15.140625" style="1" customWidth="1"/>
    <col min="8" max="8" width="14.7109375" style="1" customWidth="1"/>
    <col min="9" max="9" width="22.57421875" style="1" customWidth="1"/>
    <col min="10" max="14" width="9.140625" style="1" customWidth="1"/>
    <col min="15" max="15" width="14.8515625" style="1" customWidth="1"/>
    <col min="16" max="16" width="12.00390625" style="1" customWidth="1"/>
    <col min="17" max="17" width="9.140625" style="1" customWidth="1"/>
    <col min="18" max="18" width="13.57421875" style="1" customWidth="1"/>
    <col min="19" max="19" width="9.140625" style="1" customWidth="1"/>
    <col min="22" max="22" width="7.8515625" style="0" customWidth="1"/>
    <col min="24" max="24" width="15.00390625" style="0" customWidth="1"/>
    <col min="26" max="26" width="15.00390625" style="0" customWidth="1"/>
    <col min="27" max="27" width="14.00390625" style="0" customWidth="1"/>
    <col min="28" max="28" width="16.28125" style="0" customWidth="1"/>
    <col min="29" max="29" width="14.28125" style="0" customWidth="1"/>
    <col min="30" max="30" width="18.00390625" style="0" customWidth="1"/>
    <col min="31" max="31" width="16.7109375" style="0" customWidth="1"/>
    <col min="34" max="34" width="9.28125" style="0" customWidth="1"/>
    <col min="35" max="35" width="14.57421875" style="0" customWidth="1"/>
    <col min="36" max="36" width="16.57421875" style="0" customWidth="1"/>
    <col min="37" max="37" width="20.7109375" style="0" customWidth="1"/>
  </cols>
  <sheetData>
    <row r="1" spans="1:37" ht="66" customHeight="1">
      <c r="A1" s="16" t="s">
        <v>54</v>
      </c>
      <c r="B1" s="4" t="s">
        <v>48</v>
      </c>
      <c r="C1" s="4" t="s">
        <v>47</v>
      </c>
      <c r="D1" s="6" t="s">
        <v>42</v>
      </c>
      <c r="E1" s="6" t="s">
        <v>43</v>
      </c>
      <c r="F1" s="4" t="s">
        <v>49</v>
      </c>
      <c r="G1" s="21" t="s">
        <v>50</v>
      </c>
      <c r="H1" s="21"/>
      <c r="I1" s="4" t="s">
        <v>51</v>
      </c>
      <c r="J1" s="21" t="s">
        <v>52</v>
      </c>
      <c r="K1" s="21"/>
      <c r="L1" s="21"/>
      <c r="M1" s="21"/>
      <c r="N1" s="21"/>
      <c r="O1" s="2" t="s">
        <v>53</v>
      </c>
      <c r="P1" s="4" t="s">
        <v>55</v>
      </c>
      <c r="Q1" s="18" t="s">
        <v>56</v>
      </c>
      <c r="R1" s="18"/>
      <c r="S1" s="18"/>
      <c r="T1" s="18" t="s">
        <v>57</v>
      </c>
      <c r="U1" s="18"/>
      <c r="V1" s="18"/>
      <c r="W1" s="18"/>
      <c r="X1" s="18"/>
      <c r="Y1" s="18"/>
      <c r="Z1" s="18" t="s">
        <v>58</v>
      </c>
      <c r="AA1" s="18"/>
      <c r="AB1" s="18"/>
      <c r="AC1" s="18" t="s">
        <v>59</v>
      </c>
      <c r="AD1" s="19"/>
      <c r="AE1" s="19"/>
      <c r="AF1" s="18" t="s">
        <v>46</v>
      </c>
      <c r="AG1" s="18"/>
      <c r="AH1" s="18"/>
      <c r="AI1" s="2" t="s">
        <v>61</v>
      </c>
      <c r="AJ1" s="2" t="s">
        <v>60</v>
      </c>
      <c r="AK1" s="2" t="s">
        <v>41</v>
      </c>
    </row>
    <row r="2" spans="1:37" ht="39.75" customHeight="1">
      <c r="A2" s="3" t="s">
        <v>0</v>
      </c>
      <c r="G2" s="4" t="s">
        <v>21</v>
      </c>
      <c r="H2" s="4" t="s">
        <v>22</v>
      </c>
      <c r="J2" s="8" t="s">
        <v>23</v>
      </c>
      <c r="K2" s="8" t="s">
        <v>24</v>
      </c>
      <c r="L2" s="8" t="s">
        <v>25</v>
      </c>
      <c r="M2" s="8" t="s">
        <v>26</v>
      </c>
      <c r="N2" s="8" t="s">
        <v>27</v>
      </c>
      <c r="Q2" s="3" t="s">
        <v>29</v>
      </c>
      <c r="R2" s="3" t="s">
        <v>30</v>
      </c>
      <c r="S2" s="3" t="s">
        <v>27</v>
      </c>
      <c r="T2" s="3" t="s">
        <v>31</v>
      </c>
      <c r="U2" s="3" t="s">
        <v>0</v>
      </c>
      <c r="V2" s="3" t="s">
        <v>27</v>
      </c>
      <c r="W2" s="3" t="s">
        <v>11</v>
      </c>
      <c r="X2" s="3" t="s">
        <v>32</v>
      </c>
      <c r="Y2" s="3" t="s">
        <v>33</v>
      </c>
      <c r="Z2" s="13" t="s">
        <v>44</v>
      </c>
      <c r="AA2" s="13" t="s">
        <v>45</v>
      </c>
      <c r="AB2" s="3" t="s">
        <v>34</v>
      </c>
      <c r="AC2" s="3" t="s">
        <v>35</v>
      </c>
      <c r="AD2" s="3" t="s">
        <v>36</v>
      </c>
      <c r="AE2" s="3" t="s">
        <v>37</v>
      </c>
      <c r="AF2" s="3" t="s">
        <v>38</v>
      </c>
      <c r="AG2" s="3" t="s">
        <v>39</v>
      </c>
      <c r="AH2" s="3" t="s">
        <v>40</v>
      </c>
      <c r="AI2" s="2"/>
      <c r="AJ2" s="2"/>
      <c r="AK2" s="2"/>
    </row>
    <row r="3" ht="12.75">
      <c r="A3" s="15"/>
    </row>
    <row r="4" spans="1:37" ht="12.75">
      <c r="A4" t="s">
        <v>4</v>
      </c>
      <c r="B4" s="20" t="s">
        <v>16</v>
      </c>
      <c r="C4" s="20"/>
      <c r="D4" s="1">
        <v>2.727272727272727</v>
      </c>
      <c r="E4" s="1">
        <v>28.181818181818183</v>
      </c>
      <c r="F4" s="1">
        <v>2.7272727273</v>
      </c>
      <c r="G4" s="1">
        <v>95.238095238</v>
      </c>
      <c r="H4" s="1">
        <v>285.71428571</v>
      </c>
      <c r="I4" s="1">
        <v>90.909090909</v>
      </c>
      <c r="J4" s="22" t="s">
        <v>16</v>
      </c>
      <c r="K4" s="22"/>
      <c r="L4" s="22"/>
      <c r="M4" s="7">
        <v>89.25487335540001</v>
      </c>
      <c r="N4" s="7" t="s">
        <v>28</v>
      </c>
      <c r="O4" s="9">
        <v>63.755100625</v>
      </c>
      <c r="P4" s="1">
        <v>146.19883041</v>
      </c>
      <c r="Q4" s="7">
        <v>1579.6882501</v>
      </c>
      <c r="R4" s="7">
        <v>155.86646681</v>
      </c>
      <c r="S4" s="7">
        <v>113.93766734</v>
      </c>
      <c r="T4" s="7">
        <v>1146.0408335</v>
      </c>
      <c r="U4" s="7">
        <v>0</v>
      </c>
      <c r="V4" s="7">
        <v>295.77958357</v>
      </c>
      <c r="W4" s="7">
        <v>404.73053862</v>
      </c>
      <c r="X4" s="7">
        <v>2.9414285061</v>
      </c>
      <c r="Y4" s="7">
        <v>0</v>
      </c>
      <c r="Z4" s="7">
        <v>347.09627003</v>
      </c>
      <c r="AA4" s="7">
        <v>37.555362042</v>
      </c>
      <c r="AB4" s="7" t="s">
        <v>16</v>
      </c>
      <c r="AC4" s="1">
        <v>1.8181818182</v>
      </c>
      <c r="AD4" s="1">
        <v>85.454545455</v>
      </c>
      <c r="AE4" s="1">
        <v>12.727272727</v>
      </c>
      <c r="AF4" s="14">
        <v>0.82222</v>
      </c>
      <c r="AG4" s="14">
        <v>0.80882</v>
      </c>
      <c r="AH4" s="14">
        <v>0.85714</v>
      </c>
      <c r="AI4" t="s">
        <v>16</v>
      </c>
      <c r="AJ4" s="7" t="s">
        <v>16</v>
      </c>
      <c r="AK4" s="10" t="s">
        <v>16</v>
      </c>
    </row>
    <row r="5" spans="1:37" ht="12.75">
      <c r="A5" t="s">
        <v>5</v>
      </c>
      <c r="B5" s="1">
        <v>7.7854671280276815</v>
      </c>
      <c r="C5" s="1">
        <v>7.7854671280276815</v>
      </c>
      <c r="D5" s="1">
        <v>5.011185682326622</v>
      </c>
      <c r="E5" s="1">
        <v>16.375838926174495</v>
      </c>
      <c r="F5" s="1">
        <v>6.3534675615</v>
      </c>
      <c r="G5" s="1">
        <v>146.23655914</v>
      </c>
      <c r="H5" s="1">
        <v>507.52688172</v>
      </c>
      <c r="I5" s="1">
        <v>54.644808743</v>
      </c>
      <c r="J5" s="7">
        <v>49.506435741</v>
      </c>
      <c r="K5" s="7">
        <v>36.751034271</v>
      </c>
      <c r="L5" s="7">
        <v>12.850805823</v>
      </c>
      <c r="M5" s="7">
        <v>13.893140595</v>
      </c>
      <c r="N5" s="7">
        <v>78.41</v>
      </c>
      <c r="O5" s="9">
        <v>32.739281779</v>
      </c>
      <c r="P5" s="1">
        <v>102.03298811</v>
      </c>
      <c r="Q5" s="7">
        <v>2483.8815718</v>
      </c>
      <c r="R5" s="7">
        <v>82.299158848</v>
      </c>
      <c r="S5" s="7">
        <v>81.336329839</v>
      </c>
      <c r="T5" s="7">
        <v>1604.0913913</v>
      </c>
      <c r="U5" s="7">
        <v>631.36168983</v>
      </c>
      <c r="V5" s="7">
        <v>183.21450066</v>
      </c>
      <c r="W5" s="7">
        <v>227.06665946</v>
      </c>
      <c r="X5" s="7">
        <v>1.7828192381</v>
      </c>
      <c r="Y5" s="7">
        <v>0</v>
      </c>
      <c r="Z5" s="7">
        <v>371.83080837</v>
      </c>
      <c r="AA5" s="7">
        <v>37.698221132</v>
      </c>
      <c r="AB5" s="7">
        <v>3.9378891955</v>
      </c>
      <c r="AC5" s="1">
        <v>0.581655481</v>
      </c>
      <c r="AD5" s="1">
        <v>63.713646532</v>
      </c>
      <c r="AE5" s="1">
        <v>35.704697987</v>
      </c>
      <c r="AF5" s="14">
        <v>0.78189</v>
      </c>
      <c r="AG5" s="14">
        <v>0.71146</v>
      </c>
      <c r="AH5" s="14">
        <v>0.81032</v>
      </c>
      <c r="AI5" s="11">
        <v>50.934632035</v>
      </c>
      <c r="AJ5" s="7">
        <v>22.280439121756487</v>
      </c>
      <c r="AK5" s="10">
        <v>54.54</v>
      </c>
    </row>
    <row r="6" spans="1:37" ht="12.75">
      <c r="A6" t="s">
        <v>6</v>
      </c>
      <c r="B6" s="1">
        <v>10.16767748840528</v>
      </c>
      <c r="C6" s="1">
        <v>9.810916874777025</v>
      </c>
      <c r="D6" s="1">
        <v>4.906753575955097</v>
      </c>
      <c r="E6" s="1">
        <v>18.97519464059388</v>
      </c>
      <c r="F6" s="1">
        <v>6.536302734</v>
      </c>
      <c r="G6" s="1">
        <v>143.87211368</v>
      </c>
      <c r="H6" s="1">
        <v>332.14920071</v>
      </c>
      <c r="I6" s="1">
        <v>41.025641026</v>
      </c>
      <c r="J6" s="7">
        <v>43.949737311</v>
      </c>
      <c r="K6" s="7">
        <v>47.351041538</v>
      </c>
      <c r="L6" s="7">
        <v>16.534553941</v>
      </c>
      <c r="M6" s="7">
        <v>18.239985428</v>
      </c>
      <c r="N6" s="7">
        <v>113.68</v>
      </c>
      <c r="O6" s="9">
        <v>72.693523121</v>
      </c>
      <c r="P6" s="1">
        <v>140.74374303</v>
      </c>
      <c r="Q6" s="7">
        <v>1597.1551703</v>
      </c>
      <c r="R6" s="7">
        <v>135.64242368</v>
      </c>
      <c r="S6" s="7">
        <v>144.83178206</v>
      </c>
      <c r="T6" s="7">
        <v>1156.8820784</v>
      </c>
      <c r="U6" s="7">
        <v>289.2620326</v>
      </c>
      <c r="V6" s="7">
        <v>121.4469509</v>
      </c>
      <c r="W6" s="7">
        <v>309.23354766</v>
      </c>
      <c r="X6" s="7">
        <v>0.7053813077</v>
      </c>
      <c r="Y6" s="7">
        <v>0.0993852213</v>
      </c>
      <c r="Z6" s="7">
        <v>266.62307711</v>
      </c>
      <c r="AA6" s="7">
        <v>20.609649862</v>
      </c>
      <c r="AB6" s="7">
        <v>3.8618065521</v>
      </c>
      <c r="AC6" s="1">
        <v>0.4345464422</v>
      </c>
      <c r="AD6" s="1">
        <v>64.005069708</v>
      </c>
      <c r="AE6" s="1">
        <v>35.560383849</v>
      </c>
      <c r="AF6" s="14">
        <v>0.47781</v>
      </c>
      <c r="AG6" s="14">
        <v>0.41411</v>
      </c>
      <c r="AH6" s="14">
        <v>0.57885</v>
      </c>
      <c r="AI6" s="11">
        <v>45.220847458</v>
      </c>
      <c r="AJ6" s="7">
        <v>8.199219121988383</v>
      </c>
      <c r="AK6" s="10">
        <v>57.27</v>
      </c>
    </row>
    <row r="7" spans="1:37" ht="12.75">
      <c r="A7" t="s">
        <v>7</v>
      </c>
      <c r="B7" s="1">
        <v>4.793510324483776</v>
      </c>
      <c r="C7" s="1">
        <v>4.424778761061947</v>
      </c>
      <c r="D7" s="1">
        <v>4.539877300613497</v>
      </c>
      <c r="E7" s="1">
        <v>16.932515337423315</v>
      </c>
      <c r="F7" s="1">
        <v>6.3394683027</v>
      </c>
      <c r="G7" s="1">
        <v>180.76923077</v>
      </c>
      <c r="H7" s="1">
        <v>578.84615385</v>
      </c>
      <c r="I7" s="1">
        <v>84.355828221</v>
      </c>
      <c r="J7" s="7">
        <v>30.993657464</v>
      </c>
      <c r="K7" s="7">
        <v>9.6942002202</v>
      </c>
      <c r="L7" s="7">
        <v>7.4344502667</v>
      </c>
      <c r="M7" s="7">
        <v>19.398907966</v>
      </c>
      <c r="N7" s="7">
        <v>77.03</v>
      </c>
      <c r="O7" s="9">
        <v>24.843061102</v>
      </c>
      <c r="P7" s="1">
        <v>62.272837412</v>
      </c>
      <c r="Q7" s="7">
        <v>3579.1689009</v>
      </c>
      <c r="R7" s="7">
        <v>69.755680286</v>
      </c>
      <c r="S7" s="7">
        <v>105.51132846</v>
      </c>
      <c r="T7" s="7">
        <v>2496.9519443</v>
      </c>
      <c r="U7" s="7">
        <v>861.9256628</v>
      </c>
      <c r="V7" s="7">
        <v>171.39258703</v>
      </c>
      <c r="W7" s="7">
        <v>218.88759051</v>
      </c>
      <c r="X7" s="7">
        <v>4.8809400175</v>
      </c>
      <c r="Y7" s="7">
        <v>0.3971850439</v>
      </c>
      <c r="Z7" s="7">
        <v>478.88238088</v>
      </c>
      <c r="AA7" s="7">
        <v>73.75829959</v>
      </c>
      <c r="AB7" s="7">
        <v>8.1871544475</v>
      </c>
      <c r="AC7" s="1">
        <v>0.408997955</v>
      </c>
      <c r="AD7" s="1">
        <v>67.198364008</v>
      </c>
      <c r="AE7" s="1">
        <v>32.392638037</v>
      </c>
      <c r="AF7" s="14">
        <v>0.88665</v>
      </c>
      <c r="AG7" s="14">
        <v>0.71984</v>
      </c>
      <c r="AH7" s="14">
        <v>0.83896</v>
      </c>
      <c r="AI7" s="11">
        <v>54.987437186</v>
      </c>
      <c r="AJ7" s="7">
        <v>8.85913687508902</v>
      </c>
      <c r="AK7" s="10">
        <v>44.86</v>
      </c>
    </row>
    <row r="8" spans="1:37" ht="12.75">
      <c r="A8" t="s">
        <v>8</v>
      </c>
      <c r="B8" s="1">
        <v>8.194905869324474</v>
      </c>
      <c r="C8" s="1">
        <v>6.423034330011074</v>
      </c>
      <c r="D8" s="1">
        <v>5.493757094211124</v>
      </c>
      <c r="E8" s="1">
        <v>16.821793416572078</v>
      </c>
      <c r="F8" s="1">
        <v>7.4460839955</v>
      </c>
      <c r="G8" s="1">
        <v>52.691867125</v>
      </c>
      <c r="H8" s="1">
        <v>371.13402062</v>
      </c>
      <c r="I8" s="1">
        <v>99.98261172</v>
      </c>
      <c r="J8" s="7">
        <v>12.219988403</v>
      </c>
      <c r="K8" s="7">
        <v>3.7692234741</v>
      </c>
      <c r="L8" s="7">
        <v>2.9086329703</v>
      </c>
      <c r="M8" s="7">
        <v>11.334791052</v>
      </c>
      <c r="N8" s="7">
        <v>31.61</v>
      </c>
      <c r="O8" s="9">
        <v>29.151793044</v>
      </c>
      <c r="P8" s="1">
        <v>56.283432824</v>
      </c>
      <c r="Q8" s="7">
        <v>2383.2485212</v>
      </c>
      <c r="R8" s="7">
        <v>825.3653795</v>
      </c>
      <c r="S8" s="7">
        <v>261.32948119</v>
      </c>
      <c r="T8" s="7">
        <v>2043.6186079</v>
      </c>
      <c r="U8" s="7">
        <v>189.49037808</v>
      </c>
      <c r="V8" s="7">
        <v>94.719447883</v>
      </c>
      <c r="W8" s="7">
        <v>1140.176343</v>
      </c>
      <c r="X8" s="7">
        <v>1.9386049705</v>
      </c>
      <c r="Y8" s="7">
        <v>0</v>
      </c>
      <c r="Z8" s="7">
        <v>430.9808923</v>
      </c>
      <c r="AA8" s="7">
        <v>49.773279797</v>
      </c>
      <c r="AB8" s="7">
        <v>12.099027778</v>
      </c>
      <c r="AC8" s="1">
        <v>15.005675369</v>
      </c>
      <c r="AD8" s="1">
        <v>65.879682179</v>
      </c>
      <c r="AE8" s="1">
        <v>19.114642452</v>
      </c>
      <c r="AF8" s="14">
        <v>0.83064</v>
      </c>
      <c r="AG8" s="14">
        <v>0.72636</v>
      </c>
      <c r="AH8" s="14">
        <v>0.85484</v>
      </c>
      <c r="AI8" s="11">
        <v>51.259418458</v>
      </c>
      <c r="AJ8" s="7">
        <v>4.672117470382112</v>
      </c>
      <c r="AK8" s="10">
        <v>39.78</v>
      </c>
    </row>
    <row r="9" spans="1:37" ht="12.75">
      <c r="A9" t="s">
        <v>9</v>
      </c>
      <c r="B9" s="1">
        <v>7.169811320754717</v>
      </c>
      <c r="C9" s="1">
        <v>6.7924528301886795</v>
      </c>
      <c r="D9" s="1">
        <v>4.996127033307514</v>
      </c>
      <c r="E9" s="1">
        <v>15.027110766847406</v>
      </c>
      <c r="F9" s="1">
        <v>6.7389620449</v>
      </c>
      <c r="G9" s="1">
        <v>107.63209393</v>
      </c>
      <c r="H9" s="1">
        <v>391.38943249</v>
      </c>
      <c r="I9" s="1">
        <v>88.725176169</v>
      </c>
      <c r="J9" s="7">
        <v>17.864509502</v>
      </c>
      <c r="K9" s="7">
        <v>12.16653311</v>
      </c>
      <c r="L9" s="7">
        <v>5.2098795291</v>
      </c>
      <c r="M9" s="7">
        <v>11.822617206</v>
      </c>
      <c r="N9" s="7">
        <v>41.17</v>
      </c>
      <c r="O9" s="9">
        <v>43.548134274</v>
      </c>
      <c r="P9" s="1">
        <v>68.979591837</v>
      </c>
      <c r="Q9" s="7">
        <v>2746.5822051</v>
      </c>
      <c r="R9" s="7">
        <v>492.94611889</v>
      </c>
      <c r="S9" s="7">
        <v>243.29392034</v>
      </c>
      <c r="T9" s="7">
        <v>1980.331255</v>
      </c>
      <c r="U9" s="7">
        <v>39.928987238</v>
      </c>
      <c r="V9" s="7">
        <v>237.65156029</v>
      </c>
      <c r="W9" s="7">
        <v>1223.1370456</v>
      </c>
      <c r="X9" s="7">
        <v>1.6941117746</v>
      </c>
      <c r="Y9" s="7">
        <v>0.0792844581</v>
      </c>
      <c r="Z9" s="7">
        <v>357.62677102</v>
      </c>
      <c r="AA9" s="7">
        <v>31.843569795</v>
      </c>
      <c r="AB9" s="7">
        <v>10.684603289</v>
      </c>
      <c r="AC9" s="1">
        <v>6.5065840434</v>
      </c>
      <c r="AD9" s="1">
        <v>62.625871418</v>
      </c>
      <c r="AE9" s="1">
        <v>30.867544539</v>
      </c>
      <c r="AF9" s="14">
        <v>0.78209</v>
      </c>
      <c r="AG9" s="14">
        <v>0.64502</v>
      </c>
      <c r="AH9" s="14">
        <v>0.77718</v>
      </c>
      <c r="AI9" s="11">
        <v>56.298404255</v>
      </c>
      <c r="AJ9" s="7">
        <v>8.846256328270718</v>
      </c>
      <c r="AK9" s="10">
        <v>46.78</v>
      </c>
    </row>
    <row r="10" spans="1:37" ht="12.75">
      <c r="A10" t="s">
        <v>10</v>
      </c>
      <c r="B10" s="1">
        <v>6.560449859418932</v>
      </c>
      <c r="C10" s="1">
        <v>6.560449859418932</v>
      </c>
      <c r="D10" s="1">
        <v>5.033731188375714</v>
      </c>
      <c r="E10" s="1">
        <v>16.34665282823041</v>
      </c>
      <c r="F10" s="1">
        <v>6.901920083</v>
      </c>
      <c r="G10" s="1">
        <v>72.639225182</v>
      </c>
      <c r="H10" s="1">
        <v>353.51089588</v>
      </c>
      <c r="I10" s="1">
        <v>75.218023256</v>
      </c>
      <c r="J10" s="7">
        <v>17.782652343</v>
      </c>
      <c r="K10" s="7">
        <v>8.0934766234</v>
      </c>
      <c r="L10" s="7">
        <v>3.9810732997</v>
      </c>
      <c r="M10" s="7">
        <v>15.358726433</v>
      </c>
      <c r="N10" s="7">
        <v>44.35</v>
      </c>
      <c r="O10" s="9">
        <v>28.564624566</v>
      </c>
      <c r="P10" s="1">
        <v>40.795134253</v>
      </c>
      <c r="Q10" s="7">
        <v>3216.5077779</v>
      </c>
      <c r="R10" s="7">
        <v>130.05682645</v>
      </c>
      <c r="S10" s="7">
        <v>103.64411733</v>
      </c>
      <c r="T10" s="7">
        <v>2462.3067772</v>
      </c>
      <c r="U10" s="7">
        <v>214.22218319</v>
      </c>
      <c r="V10" s="7">
        <v>628.67058018</v>
      </c>
      <c r="W10" s="7">
        <v>142.02420231</v>
      </c>
      <c r="X10" s="7">
        <v>2.34724523</v>
      </c>
      <c r="Y10" s="7">
        <v>0.6377335793</v>
      </c>
      <c r="Z10" s="7">
        <v>436.94235715</v>
      </c>
      <c r="AA10" s="7">
        <v>41.143497843</v>
      </c>
      <c r="AB10" s="7">
        <v>15.91633428</v>
      </c>
      <c r="AC10" s="1">
        <v>12.454592631</v>
      </c>
      <c r="AD10" s="1">
        <v>70.472236637</v>
      </c>
      <c r="AE10" s="1">
        <v>17.073170732</v>
      </c>
      <c r="AF10" s="14">
        <v>0.85143</v>
      </c>
      <c r="AG10" s="14">
        <v>0.71755</v>
      </c>
      <c r="AH10" s="14">
        <v>0.847</v>
      </c>
      <c r="AI10" s="11">
        <v>55.717936118</v>
      </c>
      <c r="AJ10" s="7">
        <v>4.574827877763015</v>
      </c>
      <c r="AK10" s="10">
        <v>39.55</v>
      </c>
    </row>
    <row r="11" spans="1:37" ht="12.75">
      <c r="A11" t="s">
        <v>11</v>
      </c>
      <c r="B11" s="1">
        <v>5.97509178604852</v>
      </c>
      <c r="C11" s="1">
        <v>4.631296043001464</v>
      </c>
      <c r="D11" s="1">
        <v>5.726861474507886</v>
      </c>
      <c r="E11" s="1">
        <v>13.25100868076782</v>
      </c>
      <c r="F11" s="1">
        <v>7.0619880181</v>
      </c>
      <c r="G11" s="1">
        <v>32.526775089</v>
      </c>
      <c r="H11" s="1">
        <v>338.35779453</v>
      </c>
      <c r="I11" s="1">
        <v>119.02163598</v>
      </c>
      <c r="J11" s="7">
        <v>10.324136183</v>
      </c>
      <c r="K11" s="7">
        <v>4.502201185</v>
      </c>
      <c r="L11" s="7">
        <v>3.8241250438</v>
      </c>
      <c r="M11" s="7">
        <v>4.9210660589</v>
      </c>
      <c r="N11" s="7">
        <v>19.57</v>
      </c>
      <c r="O11" s="9">
        <v>14.611502943</v>
      </c>
      <c r="P11" s="1">
        <v>65.544334438</v>
      </c>
      <c r="Q11" s="7">
        <v>2167.2375272</v>
      </c>
      <c r="R11" s="7">
        <v>1349.1889117</v>
      </c>
      <c r="S11" s="7">
        <v>470.14529302</v>
      </c>
      <c r="T11" s="7">
        <v>3888.330283</v>
      </c>
      <c r="U11" s="7">
        <v>0</v>
      </c>
      <c r="V11" s="7">
        <v>94.783868318</v>
      </c>
      <c r="W11" s="7">
        <v>0</v>
      </c>
      <c r="X11" s="7">
        <v>3.4575805597</v>
      </c>
      <c r="Y11" s="7">
        <v>0</v>
      </c>
      <c r="Z11" s="7">
        <v>427.94000263</v>
      </c>
      <c r="AA11" s="7">
        <v>35.012414271</v>
      </c>
      <c r="AB11" s="7">
        <v>16.85187219</v>
      </c>
      <c r="AC11" s="1">
        <v>0.3007702653</v>
      </c>
      <c r="AD11" s="1">
        <v>80.320332559</v>
      </c>
      <c r="AE11" s="1">
        <v>19.378897176</v>
      </c>
      <c r="AF11" s="14">
        <v>0.86829</v>
      </c>
      <c r="AG11" s="14">
        <v>0.74797</v>
      </c>
      <c r="AH11" s="14">
        <v>0.86867</v>
      </c>
      <c r="AI11" s="11">
        <v>54.107184241</v>
      </c>
      <c r="AJ11" s="7">
        <v>9.679753848513315</v>
      </c>
      <c r="AK11" s="10">
        <v>43.31</v>
      </c>
    </row>
    <row r="12" spans="1:37" ht="12.75">
      <c r="A12" t="s">
        <v>12</v>
      </c>
      <c r="B12" s="1">
        <v>7.633587786259542</v>
      </c>
      <c r="C12" s="1">
        <v>6.6157760814249365</v>
      </c>
      <c r="D12" s="1">
        <v>4.584221748400853</v>
      </c>
      <c r="E12" s="1">
        <v>16.577825159914713</v>
      </c>
      <c r="F12" s="1">
        <v>5.8635394456</v>
      </c>
      <c r="G12" s="1">
        <v>65.491183879</v>
      </c>
      <c r="H12" s="1">
        <v>272.04030227</v>
      </c>
      <c r="I12" s="1">
        <v>78.587699317</v>
      </c>
      <c r="J12" s="7">
        <v>16.297984975</v>
      </c>
      <c r="K12" s="7">
        <v>3.3182413919</v>
      </c>
      <c r="L12" s="7">
        <v>2.4689242088</v>
      </c>
      <c r="M12" s="7">
        <v>14.996818153</v>
      </c>
      <c r="N12" s="7">
        <v>46.11</v>
      </c>
      <c r="O12" s="9">
        <v>25.693233653</v>
      </c>
      <c r="P12" s="1">
        <v>24.625098658</v>
      </c>
      <c r="Q12" s="7">
        <v>2843.69258</v>
      </c>
      <c r="R12" s="7">
        <v>158.33846082</v>
      </c>
      <c r="S12" s="7">
        <v>127.79667803</v>
      </c>
      <c r="T12" s="7">
        <v>2108.9721156</v>
      </c>
      <c r="U12" s="7">
        <v>210.74247323</v>
      </c>
      <c r="V12" s="7">
        <v>699.23761998</v>
      </c>
      <c r="W12" s="7">
        <v>108.61489274</v>
      </c>
      <c r="X12" s="7">
        <v>2.1691080681</v>
      </c>
      <c r="Y12" s="7">
        <v>0.091509193</v>
      </c>
      <c r="Z12" s="7">
        <v>389.49696325</v>
      </c>
      <c r="AA12" s="7">
        <v>34.583724783</v>
      </c>
      <c r="AB12" s="7">
        <v>10.619193342</v>
      </c>
      <c r="AC12" s="1">
        <v>7.6759061834</v>
      </c>
      <c r="AD12" s="1">
        <v>76.918976546</v>
      </c>
      <c r="AE12" s="1">
        <v>15.405117271</v>
      </c>
      <c r="AF12" s="14">
        <v>0.89905</v>
      </c>
      <c r="AG12" s="14">
        <v>0.83449</v>
      </c>
      <c r="AH12" s="14">
        <v>0.91589</v>
      </c>
      <c r="AI12" s="11">
        <v>52.213973799</v>
      </c>
      <c r="AJ12" s="7">
        <v>2.950310559006211</v>
      </c>
      <c r="AK12" s="10">
        <v>26.11</v>
      </c>
    </row>
    <row r="13" spans="1:37" ht="12.75">
      <c r="A13" t="s">
        <v>13</v>
      </c>
      <c r="B13" s="1">
        <v>4.542504866969501</v>
      </c>
      <c r="C13" s="1">
        <v>4.218040233614536</v>
      </c>
      <c r="D13" s="1">
        <v>5.227882037533512</v>
      </c>
      <c r="E13" s="1">
        <v>15.951742627345844</v>
      </c>
      <c r="F13" s="1">
        <v>5.9651474531</v>
      </c>
      <c r="G13" s="1">
        <v>85.714285714</v>
      </c>
      <c r="H13" s="1">
        <v>369.64285714</v>
      </c>
      <c r="I13" s="1">
        <v>110.16225448</v>
      </c>
      <c r="J13" s="7">
        <v>14.849558434</v>
      </c>
      <c r="K13" s="7">
        <v>6.8944686912</v>
      </c>
      <c r="L13" s="7">
        <v>2.6185827563</v>
      </c>
      <c r="M13" s="7">
        <v>7.5433353851</v>
      </c>
      <c r="N13" s="7">
        <v>28.95</v>
      </c>
      <c r="O13" s="9">
        <v>23.808095851</v>
      </c>
      <c r="P13" s="1">
        <v>53.135354031</v>
      </c>
      <c r="Q13" s="7">
        <v>3276.169432</v>
      </c>
      <c r="R13" s="7">
        <v>478.88517053</v>
      </c>
      <c r="S13" s="7">
        <v>200.63196653</v>
      </c>
      <c r="T13" s="7">
        <v>3556.2923526</v>
      </c>
      <c r="U13" s="7">
        <v>47.940437828</v>
      </c>
      <c r="V13" s="7">
        <v>239.68854169</v>
      </c>
      <c r="W13" s="7">
        <v>109.83449518</v>
      </c>
      <c r="X13" s="7">
        <v>1.6300227061</v>
      </c>
      <c r="Y13" s="7">
        <v>0.3007190785</v>
      </c>
      <c r="Z13" s="7">
        <v>468.25411504</v>
      </c>
      <c r="AA13" s="7">
        <v>37.475648829</v>
      </c>
      <c r="AB13" s="7">
        <v>19.539108681</v>
      </c>
      <c r="AC13" s="1">
        <v>0.3016085791</v>
      </c>
      <c r="AD13" s="1">
        <v>77.714477212</v>
      </c>
      <c r="AE13" s="1">
        <v>21.983914209</v>
      </c>
      <c r="AF13" s="14">
        <v>0.83953</v>
      </c>
      <c r="AG13" s="14">
        <v>0.72368</v>
      </c>
      <c r="AH13" s="14">
        <v>0.85358</v>
      </c>
      <c r="AI13" s="11">
        <v>53.31020794</v>
      </c>
      <c r="AJ13" s="7">
        <v>12.023809523809524</v>
      </c>
      <c r="AK13" s="10">
        <v>32.33</v>
      </c>
    </row>
    <row r="14" spans="1:37" ht="12.75">
      <c r="A14" t="s">
        <v>14</v>
      </c>
      <c r="B14" s="1">
        <v>7.195240071952401</v>
      </c>
      <c r="C14" s="1">
        <v>5.8115400581154</v>
      </c>
      <c r="D14" s="1">
        <v>4.264332109573567</v>
      </c>
      <c r="E14" s="1">
        <v>17.410336063258967</v>
      </c>
      <c r="F14" s="1">
        <v>5.3233549845</v>
      </c>
      <c r="G14" s="1">
        <v>77.865897621</v>
      </c>
      <c r="H14" s="1">
        <v>361.2112473</v>
      </c>
      <c r="I14" s="1">
        <v>73.479318735</v>
      </c>
      <c r="J14" s="7">
        <v>17.711473549</v>
      </c>
      <c r="K14" s="7">
        <v>4.6274609983</v>
      </c>
      <c r="L14" s="7">
        <v>4.112020059</v>
      </c>
      <c r="M14" s="7">
        <v>12.963774248</v>
      </c>
      <c r="N14" s="7">
        <v>37.74</v>
      </c>
      <c r="O14" s="9">
        <v>20.449982791</v>
      </c>
      <c r="P14" s="1">
        <v>44.234224712</v>
      </c>
      <c r="Q14" s="7">
        <v>2721.9932021</v>
      </c>
      <c r="R14" s="7">
        <v>327.91649077</v>
      </c>
      <c r="S14" s="7">
        <v>155.6276407</v>
      </c>
      <c r="T14" s="7">
        <v>2046.1712768</v>
      </c>
      <c r="U14" s="7">
        <v>378.92301718</v>
      </c>
      <c r="V14" s="7">
        <v>160.47609836</v>
      </c>
      <c r="W14" s="7">
        <v>617.85108076</v>
      </c>
      <c r="X14" s="7">
        <v>2.0229223014</v>
      </c>
      <c r="Y14" s="7">
        <v>0.0929382333</v>
      </c>
      <c r="Z14" s="7">
        <v>377.75637167</v>
      </c>
      <c r="AA14" s="7">
        <v>29.090262916</v>
      </c>
      <c r="AB14" s="7">
        <v>7.8511168796</v>
      </c>
      <c r="AC14" s="1">
        <v>0.8613386049</v>
      </c>
      <c r="AD14" s="1">
        <v>82.872070037</v>
      </c>
      <c r="AE14" s="1">
        <v>16.266591358</v>
      </c>
      <c r="AF14" s="14">
        <v>0.86032</v>
      </c>
      <c r="AG14" s="14">
        <v>0.70285</v>
      </c>
      <c r="AH14" s="14">
        <v>0.81494</v>
      </c>
      <c r="AI14" s="11">
        <v>54.157181088</v>
      </c>
      <c r="AJ14" s="7">
        <v>5.842824601366742</v>
      </c>
      <c r="AK14" s="10">
        <v>35.62</v>
      </c>
    </row>
    <row r="15" spans="1:37" ht="12.75">
      <c r="A15" t="s">
        <v>15</v>
      </c>
      <c r="B15" s="1">
        <v>7.209612817089453</v>
      </c>
      <c r="C15" s="1">
        <v>5.874499332443258</v>
      </c>
      <c r="D15" s="1">
        <v>4.697053918843802</v>
      </c>
      <c r="E15" s="1">
        <v>14.70261256253474</v>
      </c>
      <c r="F15" s="1">
        <v>6.5869927738</v>
      </c>
      <c r="G15" s="1">
        <v>28.263795424</v>
      </c>
      <c r="H15" s="1">
        <v>277.25437416</v>
      </c>
      <c r="I15" s="1">
        <v>84.425683182</v>
      </c>
      <c r="J15" s="7">
        <v>14.186663305</v>
      </c>
      <c r="K15" s="7">
        <v>4.0536575679</v>
      </c>
      <c r="L15" s="7">
        <v>0.99816106</v>
      </c>
      <c r="M15" s="7">
        <v>10.807704622</v>
      </c>
      <c r="N15" s="7">
        <v>28.17</v>
      </c>
      <c r="O15" s="9">
        <v>18.131538217</v>
      </c>
      <c r="P15" s="1">
        <v>32.162058372</v>
      </c>
      <c r="Q15" s="7">
        <v>2619.2054553</v>
      </c>
      <c r="R15" s="7">
        <v>329.34812737</v>
      </c>
      <c r="S15" s="7">
        <v>203.96665536</v>
      </c>
      <c r="T15" s="7">
        <v>1692.5010344</v>
      </c>
      <c r="U15" s="7">
        <v>384.14102007</v>
      </c>
      <c r="V15" s="7">
        <v>81.84642416</v>
      </c>
      <c r="W15" s="7">
        <v>992.64373204</v>
      </c>
      <c r="X15" s="7">
        <v>1.3363114002</v>
      </c>
      <c r="Y15" s="7">
        <v>0.0517159201</v>
      </c>
      <c r="Z15" s="7">
        <v>360.72081682</v>
      </c>
      <c r="AA15" s="7">
        <v>20.116348338</v>
      </c>
      <c r="AB15" s="7">
        <v>7.6717480822</v>
      </c>
      <c r="AC15" s="1">
        <v>0.4724847137</v>
      </c>
      <c r="AD15" s="1">
        <v>86.826014452</v>
      </c>
      <c r="AE15" s="1">
        <v>12.701500834</v>
      </c>
      <c r="AF15" s="14">
        <v>0.86302</v>
      </c>
      <c r="AG15" s="14">
        <v>0.77809</v>
      </c>
      <c r="AH15" s="14">
        <v>0.89334</v>
      </c>
      <c r="AI15" s="11">
        <v>50.74187935</v>
      </c>
      <c r="AJ15" s="7">
        <v>3.5354736424891002</v>
      </c>
      <c r="AK15" s="10">
        <v>31.28</v>
      </c>
    </row>
    <row r="16" spans="17:37" ht="12.75">
      <c r="Q16"/>
      <c r="R16"/>
      <c r="S16"/>
      <c r="Z16" s="1"/>
      <c r="AA16" s="1"/>
      <c r="AB16" s="1"/>
      <c r="AF16" s="14"/>
      <c r="AG16" s="14"/>
      <c r="AH16" s="14"/>
      <c r="AI16" s="12"/>
      <c r="AK16" s="10"/>
    </row>
    <row r="17" spans="1:37" ht="12.75">
      <c r="A17" t="s">
        <v>1</v>
      </c>
      <c r="B17" s="1">
        <v>6.624901912860028</v>
      </c>
      <c r="C17" s="1">
        <v>5.5186076128484505</v>
      </c>
      <c r="D17" s="1">
        <v>5.313103010758373</v>
      </c>
      <c r="E17" s="1">
        <v>14.896513441357616</v>
      </c>
      <c r="F17" s="1">
        <v>6.7220004758</v>
      </c>
      <c r="G17" s="1">
        <v>62.144179985</v>
      </c>
      <c r="H17" s="1">
        <v>354.48247479</v>
      </c>
      <c r="I17" s="1">
        <v>99.543797823</v>
      </c>
      <c r="J17" s="7">
        <v>16.121127915</v>
      </c>
      <c r="K17" s="7">
        <v>8.2384105355</v>
      </c>
      <c r="L17" s="7">
        <v>4.674726523</v>
      </c>
      <c r="M17" s="7">
        <v>9.0869747405</v>
      </c>
      <c r="N17" s="7">
        <v>34.76</v>
      </c>
      <c r="O17" s="9">
        <v>23.411685006</v>
      </c>
      <c r="P17" s="1">
        <v>63.221984195</v>
      </c>
      <c r="Q17" s="7">
        <v>2399.983115</v>
      </c>
      <c r="R17" s="7">
        <v>864.60059333</v>
      </c>
      <c r="S17" s="7">
        <v>326.08192835</v>
      </c>
      <c r="T17" s="7">
        <v>3004.7600687</v>
      </c>
      <c r="U17" s="7">
        <v>153.15693297</v>
      </c>
      <c r="V17" s="7">
        <v>152.51353583</v>
      </c>
      <c r="W17" s="7">
        <v>277.43350022</v>
      </c>
      <c r="X17" s="7">
        <v>2.7310834956</v>
      </c>
      <c r="Y17" s="7">
        <v>0.070515459</v>
      </c>
      <c r="Z17" s="7">
        <v>408.13996524</v>
      </c>
      <c r="AA17" s="7">
        <v>35.294758122</v>
      </c>
      <c r="AB17" s="7">
        <v>13.354077684</v>
      </c>
      <c r="AC17" s="1">
        <v>1.9454944358</v>
      </c>
      <c r="AD17" s="1">
        <v>76.888001903</v>
      </c>
      <c r="AE17" s="1">
        <v>21.166503661</v>
      </c>
      <c r="AF17" s="14">
        <v>0.83221</v>
      </c>
      <c r="AG17" s="14">
        <v>0.71479</v>
      </c>
      <c r="AH17" s="14">
        <v>0.83758</v>
      </c>
      <c r="AI17" s="11">
        <v>53.211616364</v>
      </c>
      <c r="AJ17" s="7">
        <v>8.437638883696973</v>
      </c>
      <c r="AK17" s="10">
        <v>40.96</v>
      </c>
    </row>
    <row r="18" spans="1:37" ht="12.75">
      <c r="A18" t="s">
        <v>2</v>
      </c>
      <c r="B18" s="1">
        <v>7.094757094757095</v>
      </c>
      <c r="C18" s="1">
        <v>6.012506012506012</v>
      </c>
      <c r="D18" s="1">
        <v>4.750156805352289</v>
      </c>
      <c r="E18" s="1">
        <v>16.437382395985782</v>
      </c>
      <c r="F18" s="1">
        <v>6.3307547564</v>
      </c>
      <c r="G18" s="1">
        <v>78.447563997</v>
      </c>
      <c r="H18" s="1">
        <v>368.70355078</v>
      </c>
      <c r="I18" s="1">
        <v>83.498677249</v>
      </c>
      <c r="J18" s="7">
        <v>17.491288735</v>
      </c>
      <c r="K18" s="7">
        <v>5.942856249</v>
      </c>
      <c r="L18" s="7">
        <v>3.7450894333</v>
      </c>
      <c r="M18" s="7">
        <v>13.336225202</v>
      </c>
      <c r="N18" s="7">
        <v>41.19</v>
      </c>
      <c r="O18" s="9">
        <v>26.990008122</v>
      </c>
      <c r="P18" s="1">
        <v>47.238320854</v>
      </c>
      <c r="Q18" s="7">
        <v>2792.6233485</v>
      </c>
      <c r="R18" s="7">
        <v>379.14836156</v>
      </c>
      <c r="S18" s="7">
        <v>179.38221283</v>
      </c>
      <c r="T18" s="7">
        <v>2076.6455087</v>
      </c>
      <c r="U18" s="7">
        <v>332.3884271</v>
      </c>
      <c r="V18" s="7">
        <v>231.90311275</v>
      </c>
      <c r="W18" s="7">
        <v>707.85781858</v>
      </c>
      <c r="X18" s="7">
        <v>2.2114536084</v>
      </c>
      <c r="Y18" s="7">
        <v>0.1476021253</v>
      </c>
      <c r="Z18" s="7">
        <v>400.19038195</v>
      </c>
      <c r="AA18" s="7">
        <v>38.084815473</v>
      </c>
      <c r="AB18" s="7">
        <v>9.9161827804</v>
      </c>
      <c r="AC18" s="1">
        <v>5.4401003554</v>
      </c>
      <c r="AD18" s="1">
        <v>75.082584152</v>
      </c>
      <c r="AE18" s="1">
        <v>19.477315492</v>
      </c>
      <c r="AF18" s="14">
        <v>0.85188</v>
      </c>
      <c r="AG18" s="14">
        <v>0.72561</v>
      </c>
      <c r="AH18" s="14">
        <v>0.84314</v>
      </c>
      <c r="AI18" s="7">
        <v>53.031053254</v>
      </c>
      <c r="AJ18" s="7">
        <v>5.271355885463543</v>
      </c>
      <c r="AK18" s="10">
        <v>37.25</v>
      </c>
    </row>
    <row r="19" spans="1:37" ht="12.75">
      <c r="A19" t="s">
        <v>3</v>
      </c>
      <c r="B19" s="1">
        <v>9.335324869305452</v>
      </c>
      <c r="C19" s="1">
        <v>9.08638287279064</v>
      </c>
      <c r="D19" s="1">
        <v>4.905948144382308</v>
      </c>
      <c r="E19" s="1">
        <v>18.36553126588714</v>
      </c>
      <c r="F19" s="1">
        <v>6.4311133706</v>
      </c>
      <c r="G19" s="1">
        <v>143.92059553</v>
      </c>
      <c r="H19" s="1">
        <v>382.13399504</v>
      </c>
      <c r="I19" s="1">
        <v>45.879476485</v>
      </c>
      <c r="J19" s="7">
        <v>45.21156787</v>
      </c>
      <c r="K19" s="7">
        <v>43.316004689</v>
      </c>
      <c r="L19" s="7">
        <v>15.356297039</v>
      </c>
      <c r="M19" s="7">
        <v>16.680289267</v>
      </c>
      <c r="N19" s="7">
        <v>101.39</v>
      </c>
      <c r="O19" s="9">
        <v>60.202377542</v>
      </c>
      <c r="P19" s="1">
        <v>127.57309558</v>
      </c>
      <c r="Q19" s="7">
        <v>1870.9650838</v>
      </c>
      <c r="R19" s="7">
        <v>119.75673198</v>
      </c>
      <c r="S19" s="7">
        <v>124.77443424</v>
      </c>
      <c r="T19" s="7">
        <v>1295.5684094</v>
      </c>
      <c r="U19" s="7">
        <v>391.78573326</v>
      </c>
      <c r="V19" s="7">
        <v>142.10906933</v>
      </c>
      <c r="W19" s="7">
        <v>284.88949838</v>
      </c>
      <c r="X19" s="7">
        <v>1.0759310835</v>
      </c>
      <c r="Y19" s="7">
        <v>0.067608514</v>
      </c>
      <c r="Z19" s="7">
        <v>300.23635701</v>
      </c>
      <c r="AA19" s="7">
        <v>26.020919256</v>
      </c>
      <c r="AB19" s="7">
        <v>3.8467118927</v>
      </c>
      <c r="AC19" s="1">
        <v>0.4956786985</v>
      </c>
      <c r="AD19" s="1">
        <v>64.222165735</v>
      </c>
      <c r="AE19" s="1">
        <v>35.282155567</v>
      </c>
      <c r="AF19" s="14">
        <v>0.57168</v>
      </c>
      <c r="AG19" s="14">
        <v>0.5013</v>
      </c>
      <c r="AH19" s="14">
        <v>0.64809</v>
      </c>
      <c r="AI19" s="7">
        <v>46.642256903</v>
      </c>
      <c r="AJ19" s="7">
        <v>11.988045914555459</v>
      </c>
      <c r="AK19" s="10">
        <v>55.85</v>
      </c>
    </row>
    <row r="20" spans="1:37" ht="12.75">
      <c r="A20" t="s">
        <v>11</v>
      </c>
      <c r="B20" s="1">
        <v>5.97509178604852</v>
      </c>
      <c r="C20" s="1">
        <v>4.631296043001464</v>
      </c>
      <c r="D20" s="1">
        <v>5.73</v>
      </c>
      <c r="E20" s="1">
        <v>13.25</v>
      </c>
      <c r="F20" s="1">
        <v>6.901920083</v>
      </c>
      <c r="G20" s="1">
        <v>32.526775089</v>
      </c>
      <c r="H20" s="1">
        <v>338.35779453</v>
      </c>
      <c r="I20" s="1">
        <v>119.02163598</v>
      </c>
      <c r="J20" s="7">
        <v>10.324136183</v>
      </c>
      <c r="K20" s="7">
        <v>4.502201185</v>
      </c>
      <c r="L20" s="7">
        <v>3.8241250438</v>
      </c>
      <c r="M20" s="7">
        <v>4.9210660589</v>
      </c>
      <c r="N20" s="7">
        <v>19.57</v>
      </c>
      <c r="O20" s="9">
        <v>14.611502943</v>
      </c>
      <c r="P20" s="1">
        <v>65.54</v>
      </c>
      <c r="Q20" s="7">
        <v>2167.2375272</v>
      </c>
      <c r="R20" s="7">
        <v>1349.1889117</v>
      </c>
      <c r="S20" s="7">
        <v>470.14529302</v>
      </c>
      <c r="T20" s="7">
        <v>3888.330283</v>
      </c>
      <c r="U20" s="7">
        <v>0</v>
      </c>
      <c r="V20" s="7">
        <v>94.783868318</v>
      </c>
      <c r="W20" s="7">
        <v>0</v>
      </c>
      <c r="X20" s="7">
        <v>3.4575805597</v>
      </c>
      <c r="Y20" s="7">
        <v>0</v>
      </c>
      <c r="Z20" s="7">
        <v>427.94000263</v>
      </c>
      <c r="AA20" s="7">
        <v>35.012414271</v>
      </c>
      <c r="AB20" s="7">
        <v>16.85187219</v>
      </c>
      <c r="AC20" s="1">
        <v>0.3007702653</v>
      </c>
      <c r="AD20" s="1">
        <v>80.320332559</v>
      </c>
      <c r="AE20" s="1">
        <v>19.378897176</v>
      </c>
      <c r="AF20" s="14">
        <v>0.86829</v>
      </c>
      <c r="AG20" s="14">
        <v>0.74797</v>
      </c>
      <c r="AH20" s="14">
        <v>0.86867</v>
      </c>
      <c r="AI20" s="11">
        <v>51.259418458</v>
      </c>
      <c r="AJ20" s="7">
        <v>9.679753848513315</v>
      </c>
      <c r="AK20" s="10">
        <v>43.31</v>
      </c>
    </row>
    <row r="22" spans="1:38" ht="12.75">
      <c r="A22" s="3" t="s">
        <v>0</v>
      </c>
      <c r="B22" s="17" t="s">
        <v>20</v>
      </c>
      <c r="C22" s="17"/>
      <c r="D22" s="17"/>
      <c r="E22" s="17"/>
      <c r="F22" s="17"/>
      <c r="G22" s="17" t="s">
        <v>20</v>
      </c>
      <c r="H22" s="17"/>
      <c r="I22" s="17"/>
      <c r="J22" s="17" t="s">
        <v>20</v>
      </c>
      <c r="K22" s="17"/>
      <c r="L22" s="17"/>
      <c r="M22" s="17"/>
      <c r="N22" s="17"/>
      <c r="O22" s="17" t="s">
        <v>20</v>
      </c>
      <c r="P22" s="17"/>
      <c r="Q22" s="17"/>
      <c r="R22" s="17"/>
      <c r="S22" s="17"/>
      <c r="T22" s="17"/>
      <c r="U22" s="17"/>
      <c r="V22" s="17"/>
      <c r="W22" s="17" t="s">
        <v>20</v>
      </c>
      <c r="X22" s="17"/>
      <c r="Y22" s="17"/>
      <c r="Z22" s="17"/>
      <c r="AA22" s="17"/>
      <c r="AB22" s="17"/>
      <c r="AC22" s="17" t="s">
        <v>20</v>
      </c>
      <c r="AD22" s="17"/>
      <c r="AE22" s="17"/>
      <c r="AF22" s="17"/>
      <c r="AG22" s="17"/>
      <c r="AH22" s="17" t="s">
        <v>20</v>
      </c>
      <c r="AI22" s="17"/>
      <c r="AJ22" s="17"/>
      <c r="AK22" s="17"/>
      <c r="AL22" s="17"/>
    </row>
    <row r="23" spans="1:37" ht="12.75">
      <c r="A23" t="s">
        <v>4</v>
      </c>
      <c r="B23" s="20" t="s">
        <v>16</v>
      </c>
      <c r="C23" s="20"/>
      <c r="D23" s="1">
        <f aca="true" t="shared" si="0" ref="D23:D34">D4/5.31310301075837</f>
        <v>0.5133107191316149</v>
      </c>
      <c r="E23" s="1">
        <f aca="true" t="shared" si="1" ref="E23:E34">E4/14.8965134413576</f>
        <v>1.891839878691092</v>
      </c>
      <c r="F23" s="1">
        <f aca="true" t="shared" si="2" ref="F23:F34">F4/6.7220004758</f>
        <v>0.4057233761167536</v>
      </c>
      <c r="G23" s="1">
        <f aca="true" t="shared" si="3" ref="G23:G34">G4/62.144179985</f>
        <v>1.5325344265704048</v>
      </c>
      <c r="H23" s="1">
        <f aca="true" t="shared" si="4" ref="H23:H34">H4/354.48247479</f>
        <v>0.8060039805332008</v>
      </c>
      <c r="I23" s="1">
        <f aca="true" t="shared" si="5" ref="I23:I34">I4/99.543797823</f>
        <v>0.91325720835613</v>
      </c>
      <c r="J23" s="22" t="s">
        <v>16</v>
      </c>
      <c r="K23" s="22"/>
      <c r="L23" s="22"/>
      <c r="M23" s="1">
        <f aca="true" t="shared" si="6" ref="M23:M34">M4/9.0869747405</f>
        <v>9.82228694414626</v>
      </c>
      <c r="N23" s="7" t="s">
        <v>28</v>
      </c>
      <c r="O23" s="1">
        <f aca="true" t="shared" si="7" ref="O23:O34">O4/23.411685006</f>
        <v>2.723217086196944</v>
      </c>
      <c r="P23" s="1">
        <f aca="true" t="shared" si="8" ref="P23:P34">P4/63.221984195</f>
        <v>2.312468238248719</v>
      </c>
      <c r="Q23" s="1">
        <f aca="true" t="shared" si="9" ref="Q23:Q34">Q4/2399.983115</f>
        <v>0.6582080683096806</v>
      </c>
      <c r="R23" s="1">
        <f aca="true" t="shared" si="10" ref="R23:R34">R4/864.60059333</f>
        <v>0.18027568800257462</v>
      </c>
      <c r="S23" s="1">
        <f aca="true" t="shared" si="11" ref="S23:S34">S4/326.08192835</f>
        <v>0.34941423438132097</v>
      </c>
      <c r="T23" s="1">
        <f aca="true" t="shared" si="12" ref="T23:T34">T4/3004.7600687</f>
        <v>0.38140843438319216</v>
      </c>
      <c r="U23" s="1">
        <f aca="true" t="shared" si="13" ref="U23:U34">U4/153.15693297</f>
        <v>0</v>
      </c>
      <c r="V23" s="1">
        <f aca="true" t="shared" si="14" ref="V23:V34">V4/152.51353583</f>
        <v>1.9393661156718067</v>
      </c>
      <c r="W23" s="1">
        <f aca="true" t="shared" si="15" ref="W23:W34">W4/277.43350022</f>
        <v>1.458838021720721</v>
      </c>
      <c r="X23" s="1">
        <f aca="true" t="shared" si="16" ref="X23:X34">X4/2.7310834956</f>
        <v>1.077018886767425</v>
      </c>
      <c r="Y23" s="1">
        <f aca="true" t="shared" si="17" ref="Y23:Y34">Y4/0.070515459</f>
        <v>0</v>
      </c>
      <c r="Z23" s="1">
        <f aca="true" t="shared" si="18" ref="Z23:Z34">Z4/408.13996524</f>
        <v>0.8504344087594945</v>
      </c>
      <c r="AA23" s="1">
        <f aca="true" t="shared" si="19" ref="AA23:AA34">AA4/35.294758122</f>
        <v>1.0640492821111278</v>
      </c>
      <c r="AB23" s="7" t="s">
        <v>16</v>
      </c>
      <c r="AC23" s="1">
        <f aca="true" t="shared" si="20" ref="AC23:AC34">AC4/1.9454944358</f>
        <v>0.9345602766796667</v>
      </c>
      <c r="AD23" s="1">
        <f aca="true" t="shared" si="21" ref="AD23:AD34">AD4/76.888001903</f>
        <v>1.1114158690559723</v>
      </c>
      <c r="AE23" s="1">
        <f aca="true" t="shared" si="22" ref="AE23:AE34">AE4/21.166503661</f>
        <v>0.6012931058826891</v>
      </c>
      <c r="AF23" s="1">
        <f aca="true" t="shared" si="23" ref="AF23:AF34">AF4/0.83221</f>
        <v>0.9879958183631534</v>
      </c>
      <c r="AG23" s="1">
        <f aca="true" t="shared" si="24" ref="AG23:AG34">AG4/0.71479</f>
        <v>1.1315491263168203</v>
      </c>
      <c r="AH23" s="1">
        <f aca="true" t="shared" si="25" ref="AH23:AH34">AH4/0.83758</f>
        <v>1.0233529931469234</v>
      </c>
      <c r="AI23" t="s">
        <v>16</v>
      </c>
      <c r="AJ23" s="7" t="s">
        <v>16</v>
      </c>
      <c r="AK23" s="10" t="s">
        <v>16</v>
      </c>
    </row>
    <row r="24" spans="1:37" ht="12.75">
      <c r="A24" t="s">
        <v>5</v>
      </c>
      <c r="B24" s="1">
        <f aca="true" t="shared" si="26" ref="B24:B34">B5/6.62490191286003</f>
        <v>1.1751822487990053</v>
      </c>
      <c r="C24" s="1">
        <f aca="true" t="shared" si="27" ref="C24:C34">C5/5.51860761284845</f>
        <v>1.4107665690710676</v>
      </c>
      <c r="D24" s="1">
        <f t="shared" si="0"/>
        <v>0.9431749529756146</v>
      </c>
      <c r="E24" s="1">
        <f t="shared" si="1"/>
        <v>1.0993068271069257</v>
      </c>
      <c r="F24" s="1">
        <f t="shared" si="2"/>
        <v>0.945175113327236</v>
      </c>
      <c r="G24" s="1">
        <f t="shared" si="3"/>
        <v>2.3531818937074673</v>
      </c>
      <c r="H24" s="1">
        <f t="shared" si="4"/>
        <v>1.4317404041502064</v>
      </c>
      <c r="I24" s="1">
        <f t="shared" si="5"/>
        <v>0.548952420322204</v>
      </c>
      <c r="J24" s="1">
        <f aca="true" t="shared" si="28" ref="J24:J34">J5/16.121127915</f>
        <v>3.070903971609607</v>
      </c>
      <c r="K24" s="1">
        <f aca="true" t="shared" si="29" ref="K24:K34">K5/8.2384105355</f>
        <v>4.460937472421011</v>
      </c>
      <c r="L24" s="1">
        <f aca="true" t="shared" si="30" ref="L24:L34">L5/4.674726523</f>
        <v>2.748996280268607</v>
      </c>
      <c r="M24" s="1">
        <f t="shared" si="6"/>
        <v>1.5289071436590729</v>
      </c>
      <c r="N24" s="1">
        <f aca="true" t="shared" si="31" ref="N24:N34">N5/34.76</f>
        <v>2.255753739930955</v>
      </c>
      <c r="O24" s="1">
        <f t="shared" si="7"/>
        <v>1.3984162938553764</v>
      </c>
      <c r="P24" s="1">
        <f t="shared" si="8"/>
        <v>1.6138846227175108</v>
      </c>
      <c r="Q24" s="1">
        <f t="shared" si="9"/>
        <v>1.034957936276981</v>
      </c>
      <c r="R24" s="1">
        <f t="shared" si="10"/>
        <v>0.09518748828407075</v>
      </c>
      <c r="S24" s="1">
        <f t="shared" si="11"/>
        <v>0.24943525772976188</v>
      </c>
      <c r="T24" s="1">
        <f t="shared" si="12"/>
        <v>0.5338500760874412</v>
      </c>
      <c r="U24" s="1">
        <f t="shared" si="13"/>
        <v>4.12231870661493</v>
      </c>
      <c r="V24" s="1">
        <f t="shared" si="14"/>
        <v>1.201299934874115</v>
      </c>
      <c r="W24" s="1">
        <f t="shared" si="15"/>
        <v>0.8184543657486931</v>
      </c>
      <c r="X24" s="1">
        <f t="shared" si="16"/>
        <v>0.6527882582031155</v>
      </c>
      <c r="Y24" s="1">
        <f t="shared" si="17"/>
        <v>0</v>
      </c>
      <c r="Z24" s="1">
        <f t="shared" si="18"/>
        <v>0.9110374872290465</v>
      </c>
      <c r="AA24" s="1">
        <f t="shared" si="19"/>
        <v>1.0680968828768336</v>
      </c>
      <c r="AB24" s="1">
        <f aca="true" t="shared" si="32" ref="AB24:AB34">AB5/13.354077684</f>
        <v>0.29488290308645776</v>
      </c>
      <c r="AC24" s="1">
        <f t="shared" si="20"/>
        <v>0.29897565898759276</v>
      </c>
      <c r="AD24" s="1">
        <f t="shared" si="21"/>
        <v>0.8286552512104497</v>
      </c>
      <c r="AE24" s="1">
        <f t="shared" si="22"/>
        <v>1.6868491158880963</v>
      </c>
      <c r="AF24" s="1">
        <f t="shared" si="23"/>
        <v>0.9395344924958844</v>
      </c>
      <c r="AG24" s="1">
        <f t="shared" si="24"/>
        <v>0.9953412890499307</v>
      </c>
      <c r="AH24" s="1">
        <f t="shared" si="25"/>
        <v>0.9674538551541346</v>
      </c>
      <c r="AI24" s="1">
        <f aca="true" t="shared" si="33" ref="AI24:AI34">AI5/53.211616364</f>
        <v>0.9572088862434842</v>
      </c>
      <c r="AJ24" s="1">
        <f aca="true" t="shared" si="34" ref="AJ24:AJ34">AJ5/8.43763888369697</f>
        <v>2.6406011715915323</v>
      </c>
      <c r="AK24" s="1">
        <f aca="true" t="shared" si="35" ref="AK24:AK34">AK5/40.96</f>
        <v>1.33154296875</v>
      </c>
    </row>
    <row r="25" spans="1:37" ht="12.75">
      <c r="A25" t="s">
        <v>6</v>
      </c>
      <c r="B25" s="1">
        <f t="shared" si="26"/>
        <v>1.534766494982837</v>
      </c>
      <c r="C25" s="1">
        <f t="shared" si="27"/>
        <v>1.7777884501038268</v>
      </c>
      <c r="D25" s="1">
        <f t="shared" si="0"/>
        <v>0.9235193757808824</v>
      </c>
      <c r="E25" s="1">
        <f t="shared" si="1"/>
        <v>1.2738010619258413</v>
      </c>
      <c r="F25" s="1">
        <f t="shared" si="2"/>
        <v>0.9723746312621468</v>
      </c>
      <c r="G25" s="1">
        <f t="shared" si="3"/>
        <v>2.3151341560018497</v>
      </c>
      <c r="H25" s="1">
        <f t="shared" si="4"/>
        <v>0.9369975226751885</v>
      </c>
      <c r="I25" s="1">
        <f t="shared" si="5"/>
        <v>0.41213658633909245</v>
      </c>
      <c r="J25" s="1">
        <f t="shared" si="28"/>
        <v>2.7262197498046463</v>
      </c>
      <c r="K25" s="1">
        <f t="shared" si="29"/>
        <v>5.74759431251458</v>
      </c>
      <c r="L25" s="1">
        <f t="shared" si="30"/>
        <v>3.537009889166515</v>
      </c>
      <c r="M25" s="1">
        <f t="shared" si="6"/>
        <v>2.0072670992146247</v>
      </c>
      <c r="N25" s="1">
        <f t="shared" si="31"/>
        <v>3.270425776754891</v>
      </c>
      <c r="O25" s="1">
        <f t="shared" si="7"/>
        <v>3.105010301581024</v>
      </c>
      <c r="P25" s="1">
        <f t="shared" si="8"/>
        <v>2.226183578735748</v>
      </c>
      <c r="Q25" s="1">
        <f t="shared" si="9"/>
        <v>0.6654860029296498</v>
      </c>
      <c r="R25" s="1">
        <f t="shared" si="10"/>
        <v>0.15688449062656162</v>
      </c>
      <c r="S25" s="1">
        <f t="shared" si="11"/>
        <v>0.44415764710684863</v>
      </c>
      <c r="T25" s="1">
        <f t="shared" si="12"/>
        <v>0.3850164578699694</v>
      </c>
      <c r="U25" s="1">
        <f t="shared" si="13"/>
        <v>1.888664306542753</v>
      </c>
      <c r="V25" s="1">
        <f t="shared" si="14"/>
        <v>0.7963027690563248</v>
      </c>
      <c r="W25" s="1">
        <f t="shared" si="15"/>
        <v>1.114622233489406</v>
      </c>
      <c r="X25" s="1">
        <f t="shared" si="16"/>
        <v>0.2582789244036029</v>
      </c>
      <c r="Y25" s="1">
        <f t="shared" si="17"/>
        <v>1.409410400349234</v>
      </c>
      <c r="Z25" s="1">
        <f t="shared" si="18"/>
        <v>0.653263830591098</v>
      </c>
      <c r="AA25" s="1">
        <f t="shared" si="19"/>
        <v>0.583929482977631</v>
      </c>
      <c r="AB25" s="1">
        <f t="shared" si="32"/>
        <v>0.2891855688938345</v>
      </c>
      <c r="AC25" s="1">
        <f t="shared" si="20"/>
        <v>0.22336041378669463</v>
      </c>
      <c r="AD25" s="1">
        <f t="shared" si="21"/>
        <v>0.8324454807493529</v>
      </c>
      <c r="AE25" s="1">
        <f t="shared" si="22"/>
        <v>1.6800310726103154</v>
      </c>
      <c r="AF25" s="1">
        <f t="shared" si="23"/>
        <v>0.5741459487389</v>
      </c>
      <c r="AG25" s="1">
        <f t="shared" si="24"/>
        <v>0.5793449824423956</v>
      </c>
      <c r="AH25" s="1">
        <f t="shared" si="25"/>
        <v>0.6910981637574918</v>
      </c>
      <c r="AI25" s="1">
        <f t="shared" si="33"/>
        <v>0.8498303669007486</v>
      </c>
      <c r="AJ25" s="1">
        <f t="shared" si="34"/>
        <v>0.9717433081701025</v>
      </c>
      <c r="AK25" s="1">
        <f t="shared" si="35"/>
        <v>1.398193359375</v>
      </c>
    </row>
    <row r="26" spans="1:37" ht="12.75">
      <c r="A26" t="s">
        <v>7</v>
      </c>
      <c r="B26" s="1">
        <f t="shared" si="26"/>
        <v>0.7235594409599907</v>
      </c>
      <c r="C26" s="1">
        <f t="shared" si="27"/>
        <v>0.8017926026775585</v>
      </c>
      <c r="D26" s="1">
        <f t="shared" si="0"/>
        <v>0.85446815004731</v>
      </c>
      <c r="E26" s="1">
        <f t="shared" si="1"/>
        <v>1.1366764044540185</v>
      </c>
      <c r="F26" s="1">
        <f t="shared" si="2"/>
        <v>0.9430925102613187</v>
      </c>
      <c r="G26" s="1">
        <f t="shared" si="3"/>
        <v>2.9088682289094976</v>
      </c>
      <c r="H26" s="1">
        <f t="shared" si="4"/>
        <v>1.632933064442511</v>
      </c>
      <c r="I26" s="1">
        <f t="shared" si="5"/>
        <v>0.8474242500873242</v>
      </c>
      <c r="J26" s="1">
        <f t="shared" si="28"/>
        <v>1.9225489449259794</v>
      </c>
      <c r="K26" s="1">
        <f t="shared" si="29"/>
        <v>1.176707591643665</v>
      </c>
      <c r="L26" s="1">
        <f t="shared" si="30"/>
        <v>1.5903497734299439</v>
      </c>
      <c r="M26" s="1">
        <f t="shared" si="6"/>
        <v>2.134803773530969</v>
      </c>
      <c r="N26" s="1">
        <f t="shared" si="31"/>
        <v>2.2160529344073647</v>
      </c>
      <c r="O26" s="1">
        <f t="shared" si="7"/>
        <v>1.06113938811466</v>
      </c>
      <c r="P26" s="1">
        <f t="shared" si="8"/>
        <v>0.9849870769624617</v>
      </c>
      <c r="Q26" s="1">
        <f t="shared" si="9"/>
        <v>1.4913308675090409</v>
      </c>
      <c r="R26" s="1">
        <f t="shared" si="10"/>
        <v>0.08067965812669262</v>
      </c>
      <c r="S26" s="1">
        <f t="shared" si="11"/>
        <v>0.3235730633521936</v>
      </c>
      <c r="T26" s="1">
        <f t="shared" si="12"/>
        <v>0.8309987776762151</v>
      </c>
      <c r="U26" s="1">
        <f t="shared" si="13"/>
        <v>5.627728670753885</v>
      </c>
      <c r="V26" s="1">
        <f t="shared" si="14"/>
        <v>1.1237860698544397</v>
      </c>
      <c r="W26" s="1">
        <f t="shared" si="15"/>
        <v>0.7889731785686512</v>
      </c>
      <c r="X26" s="1">
        <f t="shared" si="16"/>
        <v>1.7871808113386485</v>
      </c>
      <c r="Y26" s="1">
        <f t="shared" si="17"/>
        <v>5.632595313603503</v>
      </c>
      <c r="Z26" s="1">
        <f t="shared" si="18"/>
        <v>1.1733288128213593</v>
      </c>
      <c r="AA26" s="1">
        <f t="shared" si="19"/>
        <v>2.0897805655742636</v>
      </c>
      <c r="AB26" s="1">
        <f t="shared" si="32"/>
        <v>0.6130827333219219</v>
      </c>
      <c r="AC26" s="1">
        <f t="shared" si="20"/>
        <v>0.21022828309031755</v>
      </c>
      <c r="AD26" s="1">
        <f t="shared" si="21"/>
        <v>0.8739772441059892</v>
      </c>
      <c r="AE26" s="1">
        <f t="shared" si="22"/>
        <v>1.5303726376257658</v>
      </c>
      <c r="AF26" s="1">
        <f t="shared" si="23"/>
        <v>1.0654161810120042</v>
      </c>
      <c r="AG26" s="1">
        <f t="shared" si="24"/>
        <v>1.0070650121014564</v>
      </c>
      <c r="AH26" s="1">
        <f t="shared" si="25"/>
        <v>1.0016476038109794</v>
      </c>
      <c r="AI26" s="1">
        <f t="shared" si="33"/>
        <v>1.0333728035971</v>
      </c>
      <c r="AJ26" s="1">
        <f t="shared" si="34"/>
        <v>1.0499544952328381</v>
      </c>
      <c r="AK26" s="1">
        <f t="shared" si="35"/>
        <v>1.09521484375</v>
      </c>
    </row>
    <row r="27" spans="1:37" ht="12.75">
      <c r="A27" t="s">
        <v>8</v>
      </c>
      <c r="B27" s="1">
        <f t="shared" si="26"/>
        <v>1.2369852379877213</v>
      </c>
      <c r="C27" s="1">
        <f t="shared" si="27"/>
        <v>1.1638867592355966</v>
      </c>
      <c r="D27" s="1">
        <f t="shared" si="0"/>
        <v>1.034001615080105</v>
      </c>
      <c r="E27" s="1">
        <f t="shared" si="1"/>
        <v>1.1292436638139278</v>
      </c>
      <c r="F27" s="1">
        <f t="shared" si="2"/>
        <v>1.1077184570734244</v>
      </c>
      <c r="G27" s="1">
        <f t="shared" si="3"/>
        <v>0.8478970538788742</v>
      </c>
      <c r="H27" s="1">
        <f t="shared" si="4"/>
        <v>1.046974242774243</v>
      </c>
      <c r="I27" s="1">
        <f t="shared" si="5"/>
        <v>1.0044082495001874</v>
      </c>
      <c r="J27" s="1">
        <f t="shared" si="28"/>
        <v>0.7580107587652003</v>
      </c>
      <c r="K27" s="1">
        <f t="shared" si="29"/>
        <v>0.4575182867930775</v>
      </c>
      <c r="L27" s="1">
        <f t="shared" si="30"/>
        <v>0.6222038778074632</v>
      </c>
      <c r="M27" s="1">
        <f t="shared" si="6"/>
        <v>1.2473668493301342</v>
      </c>
      <c r="N27" s="1">
        <f t="shared" si="31"/>
        <v>0.9093785960874569</v>
      </c>
      <c r="O27" s="1">
        <f t="shared" si="7"/>
        <v>1.2451813287479698</v>
      </c>
      <c r="P27" s="1">
        <f t="shared" si="8"/>
        <v>0.8902509710926039</v>
      </c>
      <c r="Q27" s="1">
        <f t="shared" si="9"/>
        <v>0.9930272035268048</v>
      </c>
      <c r="R27" s="1">
        <f t="shared" si="10"/>
        <v>0.9546204176440753</v>
      </c>
      <c r="S27" s="1">
        <f t="shared" si="11"/>
        <v>0.8014227667026738</v>
      </c>
      <c r="T27" s="1">
        <f t="shared" si="12"/>
        <v>0.6801270521357019</v>
      </c>
      <c r="U27" s="1">
        <f t="shared" si="13"/>
        <v>1.2372301691175605</v>
      </c>
      <c r="V27" s="1">
        <f t="shared" si="14"/>
        <v>0.6210560090127314</v>
      </c>
      <c r="W27" s="1">
        <f t="shared" si="15"/>
        <v>4.109728428959949</v>
      </c>
      <c r="X27" s="1">
        <f t="shared" si="16"/>
        <v>0.7098299900472658</v>
      </c>
      <c r="Y27" s="1">
        <f t="shared" si="17"/>
        <v>0</v>
      </c>
      <c r="Z27" s="1">
        <f t="shared" si="18"/>
        <v>1.0559634659805217</v>
      </c>
      <c r="AA27" s="1">
        <f t="shared" si="19"/>
        <v>1.410217336663804</v>
      </c>
      <c r="AB27" s="1">
        <f t="shared" si="32"/>
        <v>0.9060174775301989</v>
      </c>
      <c r="AC27" s="1">
        <f t="shared" si="20"/>
        <v>7.713039468462715</v>
      </c>
      <c r="AD27" s="1">
        <f t="shared" si="21"/>
        <v>0.8568265600413465</v>
      </c>
      <c r="AE27" s="1">
        <f t="shared" si="22"/>
        <v>0.9030609286322225</v>
      </c>
      <c r="AF27" s="1">
        <f t="shared" si="23"/>
        <v>0.9981134569399551</v>
      </c>
      <c r="AG27" s="1">
        <f t="shared" si="24"/>
        <v>1.0161865722799703</v>
      </c>
      <c r="AH27" s="1">
        <f t="shared" si="25"/>
        <v>1.0206069867952912</v>
      </c>
      <c r="AI27" s="1">
        <f t="shared" si="33"/>
        <v>0.9633125614406115</v>
      </c>
      <c r="AJ27" s="1">
        <f t="shared" si="34"/>
        <v>0.5537233264876362</v>
      </c>
      <c r="AK27" s="1">
        <f t="shared" si="35"/>
        <v>0.97119140625</v>
      </c>
    </row>
    <row r="28" spans="1:37" ht="12.75">
      <c r="A28" t="s">
        <v>9</v>
      </c>
      <c r="B28" s="1">
        <f t="shared" si="26"/>
        <v>1.0822516944495326</v>
      </c>
      <c r="C28" s="1">
        <f t="shared" si="27"/>
        <v>1.2308272859216258</v>
      </c>
      <c r="D28" s="1">
        <f t="shared" si="0"/>
        <v>0.9403407054579932</v>
      </c>
      <c r="E28" s="1">
        <f t="shared" si="1"/>
        <v>1.0087669726210715</v>
      </c>
      <c r="F28" s="1">
        <f t="shared" si="2"/>
        <v>1.0025232918624543</v>
      </c>
      <c r="G28" s="1">
        <f t="shared" si="3"/>
        <v>1.7319738381933691</v>
      </c>
      <c r="H28" s="1">
        <f t="shared" si="4"/>
        <v>1.1041150418560584</v>
      </c>
      <c r="I28" s="1">
        <f t="shared" si="5"/>
        <v>0.8913179736899658</v>
      </c>
      <c r="J28" s="1">
        <f t="shared" si="28"/>
        <v>1.1081426557863772</v>
      </c>
      <c r="K28" s="1">
        <f t="shared" si="29"/>
        <v>1.4768058787035911</v>
      </c>
      <c r="L28" s="1">
        <f t="shared" si="30"/>
        <v>1.114477927953006</v>
      </c>
      <c r="M28" s="1">
        <f t="shared" si="6"/>
        <v>1.3010509596012672</v>
      </c>
      <c r="N28" s="1">
        <f t="shared" si="31"/>
        <v>1.1844073647871118</v>
      </c>
      <c r="O28" s="1">
        <f t="shared" si="7"/>
        <v>1.8601025198672965</v>
      </c>
      <c r="P28" s="1">
        <f t="shared" si="8"/>
        <v>1.0910697080344933</v>
      </c>
      <c r="Q28" s="1">
        <f t="shared" si="9"/>
        <v>1.1444173035775713</v>
      </c>
      <c r="R28" s="1">
        <f t="shared" si="10"/>
        <v>0.5701431651711263</v>
      </c>
      <c r="S28" s="1">
        <f t="shared" si="11"/>
        <v>0.7461128605657057</v>
      </c>
      <c r="T28" s="1">
        <f t="shared" si="12"/>
        <v>0.6590646872702832</v>
      </c>
      <c r="U28" s="1">
        <f t="shared" si="13"/>
        <v>0.2607063647965658</v>
      </c>
      <c r="V28" s="1">
        <f t="shared" si="14"/>
        <v>1.558232579139071</v>
      </c>
      <c r="W28" s="1">
        <f t="shared" si="15"/>
        <v>4.408757574806479</v>
      </c>
      <c r="X28" s="1">
        <f t="shared" si="16"/>
        <v>0.6203075729209134</v>
      </c>
      <c r="Y28" s="1">
        <f t="shared" si="17"/>
        <v>1.1243556976634017</v>
      </c>
      <c r="Z28" s="1">
        <f t="shared" si="18"/>
        <v>0.8762356090506929</v>
      </c>
      <c r="AA28" s="1">
        <f t="shared" si="19"/>
        <v>0.9022181051625114</v>
      </c>
      <c r="AB28" s="1">
        <f t="shared" si="32"/>
        <v>0.8001004293843226</v>
      </c>
      <c r="AC28" s="1">
        <f t="shared" si="20"/>
        <v>3.3444372410782304</v>
      </c>
      <c r="AD28" s="1">
        <f t="shared" si="21"/>
        <v>0.8145077238059489</v>
      </c>
      <c r="AE28" s="1">
        <f t="shared" si="22"/>
        <v>1.4583204214248429</v>
      </c>
      <c r="AF28" s="1">
        <f t="shared" si="23"/>
        <v>0.939774816452578</v>
      </c>
      <c r="AG28" s="1">
        <f t="shared" si="24"/>
        <v>0.9023909120161167</v>
      </c>
      <c r="AH28" s="1">
        <f t="shared" si="25"/>
        <v>0.9278874853745314</v>
      </c>
      <c r="AI28" s="1">
        <f t="shared" si="33"/>
        <v>1.058009662211433</v>
      </c>
      <c r="AJ28" s="1">
        <f t="shared" si="34"/>
        <v>1.0484279370338152</v>
      </c>
      <c r="AK28" s="1">
        <f t="shared" si="35"/>
        <v>1.14208984375</v>
      </c>
    </row>
    <row r="29" spans="1:37" ht="12.75">
      <c r="A29" t="s">
        <v>10</v>
      </c>
      <c r="B29" s="1">
        <f t="shared" si="26"/>
        <v>0.9902712441197075</v>
      </c>
      <c r="C29" s="1">
        <f t="shared" si="27"/>
        <v>1.188787157859323</v>
      </c>
      <c r="D29" s="1">
        <f t="shared" si="0"/>
        <v>0.9474183312808045</v>
      </c>
      <c r="E29" s="1">
        <f t="shared" si="1"/>
        <v>1.0973475701264934</v>
      </c>
      <c r="F29" s="1">
        <f t="shared" si="2"/>
        <v>1.02676578316942</v>
      </c>
      <c r="G29" s="1">
        <f t="shared" si="3"/>
        <v>1.168882189764725</v>
      </c>
      <c r="H29" s="1">
        <f t="shared" si="4"/>
        <v>0.9972591623589415</v>
      </c>
      <c r="I29" s="1">
        <f t="shared" si="5"/>
        <v>0.7556274213060069</v>
      </c>
      <c r="J29" s="1">
        <f t="shared" si="28"/>
        <v>1.1030650235368473</v>
      </c>
      <c r="K29" s="1">
        <f t="shared" si="29"/>
        <v>0.9824075394791912</v>
      </c>
      <c r="L29" s="1">
        <f t="shared" si="30"/>
        <v>0.8516162988600134</v>
      </c>
      <c r="M29" s="1">
        <f t="shared" si="6"/>
        <v>1.6901913861988904</v>
      </c>
      <c r="N29" s="1">
        <f t="shared" si="31"/>
        <v>1.2758918296892983</v>
      </c>
      <c r="O29" s="1">
        <f t="shared" si="7"/>
        <v>1.2201011827503827</v>
      </c>
      <c r="P29" s="1">
        <f t="shared" si="8"/>
        <v>0.6452681732856203</v>
      </c>
      <c r="Q29" s="1">
        <f t="shared" si="9"/>
        <v>1.3402210031381825</v>
      </c>
      <c r="R29" s="1">
        <f t="shared" si="10"/>
        <v>0.15042416978814172</v>
      </c>
      <c r="S29" s="1">
        <f t="shared" si="11"/>
        <v>0.3178468609237173</v>
      </c>
      <c r="T29" s="1">
        <f t="shared" si="12"/>
        <v>0.8194686833232941</v>
      </c>
      <c r="U29" s="1">
        <f t="shared" si="13"/>
        <v>1.3987103230381435</v>
      </c>
      <c r="V29" s="1">
        <f t="shared" si="14"/>
        <v>4.122064161444339</v>
      </c>
      <c r="W29" s="1">
        <f t="shared" si="15"/>
        <v>0.511921603545993</v>
      </c>
      <c r="X29" s="1">
        <f t="shared" si="16"/>
        <v>0.8594556826188599</v>
      </c>
      <c r="Y29" s="1">
        <f t="shared" si="17"/>
        <v>9.043883261115834</v>
      </c>
      <c r="Z29" s="1">
        <f t="shared" si="18"/>
        <v>1.0705698886730273</v>
      </c>
      <c r="AA29" s="1">
        <f t="shared" si="19"/>
        <v>1.1657112849671112</v>
      </c>
      <c r="AB29" s="1">
        <f t="shared" si="32"/>
        <v>1.1918707271764586</v>
      </c>
      <c r="AC29" s="1">
        <f t="shared" si="20"/>
        <v>6.401762144273927</v>
      </c>
      <c r="AD29" s="1">
        <f t="shared" si="21"/>
        <v>0.9165570035999377</v>
      </c>
      <c r="AE29" s="1">
        <f t="shared" si="22"/>
        <v>0.8066127030444757</v>
      </c>
      <c r="AF29" s="1">
        <f t="shared" si="23"/>
        <v>1.023095132238257</v>
      </c>
      <c r="AG29" s="1">
        <f t="shared" si="24"/>
        <v>1.0038612739405979</v>
      </c>
      <c r="AH29" s="1">
        <f t="shared" si="25"/>
        <v>1.011246686883641</v>
      </c>
      <c r="AI29" s="1">
        <f t="shared" si="33"/>
        <v>1.0471009889430014</v>
      </c>
      <c r="AJ29" s="1">
        <f t="shared" si="34"/>
        <v>0.5421928978973493</v>
      </c>
      <c r="AK29" s="1">
        <f t="shared" si="35"/>
        <v>0.9655761718749999</v>
      </c>
    </row>
    <row r="30" spans="1:37" ht="12.75">
      <c r="A30" t="s">
        <v>11</v>
      </c>
      <c r="B30" s="1">
        <f t="shared" si="26"/>
        <v>0.9019140003340849</v>
      </c>
      <c r="C30" s="1">
        <f t="shared" si="27"/>
        <v>0.8392145932279833</v>
      </c>
      <c r="D30" s="1">
        <f t="shared" si="0"/>
        <v>1.077875106677154</v>
      </c>
      <c r="E30" s="1">
        <f t="shared" si="1"/>
        <v>0.8895375909894915</v>
      </c>
      <c r="F30" s="1">
        <f t="shared" si="2"/>
        <v>1.0505783276160119</v>
      </c>
      <c r="G30" s="1">
        <f t="shared" si="3"/>
        <v>0.5234082273971773</v>
      </c>
      <c r="H30" s="1">
        <f t="shared" si="4"/>
        <v>0.9545120523389696</v>
      </c>
      <c r="I30" s="1">
        <f t="shared" si="5"/>
        <v>1.1956710371010133</v>
      </c>
      <c r="J30" s="1">
        <f t="shared" si="28"/>
        <v>0.6404102887487076</v>
      </c>
      <c r="K30" s="1">
        <f t="shared" si="29"/>
        <v>0.5464890546058173</v>
      </c>
      <c r="L30" s="1">
        <f t="shared" si="30"/>
        <v>0.8180425154252386</v>
      </c>
      <c r="M30" s="1">
        <f t="shared" si="6"/>
        <v>0.541551638409113</v>
      </c>
      <c r="N30" s="1">
        <f t="shared" si="31"/>
        <v>0.5630034522439586</v>
      </c>
      <c r="O30" s="1">
        <f t="shared" si="7"/>
        <v>0.6241115468303683</v>
      </c>
      <c r="P30" s="1">
        <f t="shared" si="8"/>
        <v>1.0367332704370211</v>
      </c>
      <c r="Q30" s="1">
        <f t="shared" si="9"/>
        <v>0.9030219894692884</v>
      </c>
      <c r="R30" s="1">
        <f t="shared" si="10"/>
        <v>1.5604765045367517</v>
      </c>
      <c r="S30" s="1">
        <f t="shared" si="11"/>
        <v>1.4418011307740108</v>
      </c>
      <c r="T30" s="1">
        <f t="shared" si="12"/>
        <v>1.2940568278658848</v>
      </c>
      <c r="U30" s="1">
        <f t="shared" si="13"/>
        <v>0</v>
      </c>
      <c r="V30" s="1">
        <f t="shared" si="14"/>
        <v>0.6214784006034149</v>
      </c>
      <c r="W30" s="1">
        <f t="shared" si="15"/>
        <v>0</v>
      </c>
      <c r="X30" s="1">
        <f t="shared" si="16"/>
        <v>1.2660105651366742</v>
      </c>
      <c r="Y30" s="1">
        <f t="shared" si="17"/>
        <v>0</v>
      </c>
      <c r="Z30" s="1">
        <f t="shared" si="18"/>
        <v>1.0485128609700276</v>
      </c>
      <c r="AA30" s="1">
        <f t="shared" si="19"/>
        <v>0.9920004027220118</v>
      </c>
      <c r="AB30" s="1">
        <f t="shared" si="32"/>
        <v>1.2619270749181604</v>
      </c>
      <c r="AC30" s="1">
        <f t="shared" si="20"/>
        <v>0.15459836829413565</v>
      </c>
      <c r="AD30" s="1">
        <f t="shared" si="21"/>
        <v>1.0446406535616588</v>
      </c>
      <c r="AE30" s="1">
        <f t="shared" si="22"/>
        <v>0.9155454999262005</v>
      </c>
      <c r="AF30" s="1">
        <f t="shared" si="23"/>
        <v>1.0433544417875296</v>
      </c>
      <c r="AG30" s="1">
        <f t="shared" si="24"/>
        <v>1.0464192280250144</v>
      </c>
      <c r="AH30" s="1">
        <f t="shared" si="25"/>
        <v>1.0371188423792355</v>
      </c>
      <c r="AI30" s="1">
        <f t="shared" si="33"/>
        <v>1.0168303077071323</v>
      </c>
      <c r="AJ30" s="1">
        <f t="shared" si="34"/>
        <v>1.1472112023206318</v>
      </c>
      <c r="AK30" s="1">
        <f t="shared" si="35"/>
        <v>1.057373046875</v>
      </c>
    </row>
    <row r="31" spans="1:37" ht="12.75">
      <c r="A31" t="s">
        <v>12</v>
      </c>
      <c r="B31" s="1">
        <f t="shared" si="26"/>
        <v>1.152256725709627</v>
      </c>
      <c r="C31" s="1">
        <f t="shared" si="27"/>
        <v>1.1988125530110265</v>
      </c>
      <c r="D31" s="1">
        <f t="shared" si="0"/>
        <v>0.8628143928544912</v>
      </c>
      <c r="E31" s="1">
        <f t="shared" si="1"/>
        <v>1.1128661230143453</v>
      </c>
      <c r="F31" s="1">
        <f t="shared" si="2"/>
        <v>0.8722908406075599</v>
      </c>
      <c r="G31" s="1">
        <f t="shared" si="3"/>
        <v>1.053858686280966</v>
      </c>
      <c r="H31" s="1">
        <f t="shared" si="4"/>
        <v>0.7674294827442744</v>
      </c>
      <c r="I31" s="1">
        <f t="shared" si="5"/>
        <v>0.7894786117839075</v>
      </c>
      <c r="J31" s="1">
        <f t="shared" si="28"/>
        <v>1.010970514031803</v>
      </c>
      <c r="K31" s="1">
        <f t="shared" si="29"/>
        <v>0.40277689216887413</v>
      </c>
      <c r="L31" s="1">
        <f t="shared" si="30"/>
        <v>0.5281430254053815</v>
      </c>
      <c r="M31" s="1">
        <f t="shared" si="6"/>
        <v>1.650364239064102</v>
      </c>
      <c r="N31" s="1">
        <f t="shared" si="31"/>
        <v>1.3265247410817032</v>
      </c>
      <c r="O31" s="1">
        <f t="shared" si="7"/>
        <v>1.0974534146694388</v>
      </c>
      <c r="P31" s="1">
        <f t="shared" si="8"/>
        <v>0.38950214820919066</v>
      </c>
      <c r="Q31" s="1">
        <f t="shared" si="9"/>
        <v>1.1848802444595532</v>
      </c>
      <c r="R31" s="1">
        <f t="shared" si="10"/>
        <v>0.18313480471966956</v>
      </c>
      <c r="S31" s="1">
        <f t="shared" si="11"/>
        <v>0.39191585586070704</v>
      </c>
      <c r="T31" s="1">
        <f t="shared" si="12"/>
        <v>0.7018770442168583</v>
      </c>
      <c r="U31" s="1">
        <f t="shared" si="13"/>
        <v>1.3759904246142072</v>
      </c>
      <c r="V31" s="1">
        <f t="shared" si="14"/>
        <v>4.584757780184238</v>
      </c>
      <c r="W31" s="1">
        <f t="shared" si="15"/>
        <v>0.39149883721277445</v>
      </c>
      <c r="X31" s="1">
        <f t="shared" si="16"/>
        <v>0.7942298621022064</v>
      </c>
      <c r="Y31" s="1">
        <f t="shared" si="17"/>
        <v>1.2977181783642648</v>
      </c>
      <c r="Z31" s="1">
        <f t="shared" si="18"/>
        <v>0.9543220375906162</v>
      </c>
      <c r="AA31" s="1">
        <f t="shared" si="19"/>
        <v>0.9798544209725921</v>
      </c>
      <c r="AB31" s="1">
        <f t="shared" si="32"/>
        <v>0.7952023039916293</v>
      </c>
      <c r="AC31" s="1">
        <f t="shared" si="20"/>
        <v>3.9454783535495532</v>
      </c>
      <c r="AD31" s="1">
        <f t="shared" si="21"/>
        <v>1.0004028540504808</v>
      </c>
      <c r="AE31" s="1">
        <f t="shared" si="22"/>
        <v>0.727806420830118</v>
      </c>
      <c r="AF31" s="1">
        <f t="shared" si="23"/>
        <v>1.0803162663270087</v>
      </c>
      <c r="AG31" s="1">
        <f t="shared" si="24"/>
        <v>1.1674617719889757</v>
      </c>
      <c r="AH31" s="1">
        <f t="shared" si="25"/>
        <v>1.093495546694047</v>
      </c>
      <c r="AI31" s="1">
        <f t="shared" si="33"/>
        <v>0.9812514140112656</v>
      </c>
      <c r="AJ31" s="1">
        <f t="shared" si="34"/>
        <v>0.3496606811067418</v>
      </c>
      <c r="AK31" s="1">
        <f t="shared" si="35"/>
        <v>0.637451171875</v>
      </c>
    </row>
    <row r="32" spans="1:37" ht="12.75">
      <c r="A32" t="s">
        <v>13</v>
      </c>
      <c r="B32" s="1">
        <f t="shared" si="26"/>
        <v>0.6856712637739961</v>
      </c>
      <c r="C32" s="1">
        <f t="shared" si="27"/>
        <v>0.764330521306511</v>
      </c>
      <c r="D32" s="1">
        <f t="shared" si="0"/>
        <v>0.9839602256812459</v>
      </c>
      <c r="E32" s="1">
        <f t="shared" si="1"/>
        <v>1.0708373264752395</v>
      </c>
      <c r="F32" s="1">
        <f t="shared" si="2"/>
        <v>0.8874065800166542</v>
      </c>
      <c r="G32" s="1">
        <f t="shared" si="3"/>
        <v>1.3792809839101459</v>
      </c>
      <c r="H32" s="1">
        <f t="shared" si="4"/>
        <v>1.0427676498224099</v>
      </c>
      <c r="I32" s="1">
        <f t="shared" si="5"/>
        <v>1.1066712029199528</v>
      </c>
      <c r="J32" s="1">
        <f t="shared" si="28"/>
        <v>0.9211240374926336</v>
      </c>
      <c r="K32" s="1">
        <f t="shared" si="29"/>
        <v>0.8368687942281048</v>
      </c>
      <c r="L32" s="1">
        <f t="shared" si="30"/>
        <v>0.5601574217050728</v>
      </c>
      <c r="M32" s="1">
        <f t="shared" si="6"/>
        <v>0.8301261531497265</v>
      </c>
      <c r="N32" s="1">
        <f t="shared" si="31"/>
        <v>0.8328538550057538</v>
      </c>
      <c r="O32" s="1">
        <f t="shared" si="7"/>
        <v>1.016932179161748</v>
      </c>
      <c r="P32" s="1">
        <f t="shared" si="8"/>
        <v>0.8404569187058556</v>
      </c>
      <c r="Q32" s="1">
        <f t="shared" si="9"/>
        <v>1.3650802005746612</v>
      </c>
      <c r="R32" s="1">
        <f t="shared" si="10"/>
        <v>0.553880224261215</v>
      </c>
      <c r="S32" s="1">
        <f t="shared" si="11"/>
        <v>0.6152808514878865</v>
      </c>
      <c r="T32" s="1">
        <f t="shared" si="12"/>
        <v>1.1835528532361717</v>
      </c>
      <c r="U32" s="1">
        <f t="shared" si="13"/>
        <v>0.3130151335518742</v>
      </c>
      <c r="V32" s="1">
        <f t="shared" si="14"/>
        <v>1.5715886487424309</v>
      </c>
      <c r="W32" s="1">
        <f t="shared" si="15"/>
        <v>0.3958948544170158</v>
      </c>
      <c r="X32" s="1">
        <f t="shared" si="16"/>
        <v>0.5968410371656893</v>
      </c>
      <c r="Y32" s="1">
        <f t="shared" si="17"/>
        <v>4.264583720571117</v>
      </c>
      <c r="Z32" s="1">
        <f t="shared" si="18"/>
        <v>1.1472880749736205</v>
      </c>
      <c r="AA32" s="1">
        <f t="shared" si="19"/>
        <v>1.061790782060654</v>
      </c>
      <c r="AB32" s="1">
        <f t="shared" si="32"/>
        <v>1.4631567333482347</v>
      </c>
      <c r="AC32" s="1">
        <f t="shared" si="20"/>
        <v>0.15502926842141113</v>
      </c>
      <c r="AD32" s="1">
        <f t="shared" si="21"/>
        <v>1.0107490803317098</v>
      </c>
      <c r="AE32" s="1">
        <f t="shared" si="22"/>
        <v>1.038618118565614</v>
      </c>
      <c r="AF32" s="1">
        <f t="shared" si="23"/>
        <v>1.0087958568149866</v>
      </c>
      <c r="AG32" s="1">
        <f t="shared" si="24"/>
        <v>1.0124372193231579</v>
      </c>
      <c r="AH32" s="1">
        <f t="shared" si="25"/>
        <v>1.0191026528809188</v>
      </c>
      <c r="AI32" s="1">
        <f t="shared" si="33"/>
        <v>1.0018528205444008</v>
      </c>
      <c r="AJ32" s="1">
        <f t="shared" si="34"/>
        <v>1.4250206354578268</v>
      </c>
      <c r="AK32" s="1">
        <f t="shared" si="35"/>
        <v>0.7893066406249999</v>
      </c>
    </row>
    <row r="33" spans="1:37" ht="12.75">
      <c r="A33" t="s">
        <v>14</v>
      </c>
      <c r="B33" s="1">
        <f t="shared" si="26"/>
        <v>1.0860900533463371</v>
      </c>
      <c r="C33" s="1">
        <f t="shared" si="27"/>
        <v>1.0530808613000395</v>
      </c>
      <c r="D33" s="1">
        <f t="shared" si="0"/>
        <v>0.8026067066531228</v>
      </c>
      <c r="E33" s="1">
        <f t="shared" si="1"/>
        <v>1.168752415241151</v>
      </c>
      <c r="F33" s="1">
        <f t="shared" si="2"/>
        <v>0.7919301707378198</v>
      </c>
      <c r="G33" s="1">
        <f t="shared" si="3"/>
        <v>1.2529877719811384</v>
      </c>
      <c r="H33" s="1">
        <f t="shared" si="4"/>
        <v>1.018981960995353</v>
      </c>
      <c r="I33" s="1">
        <f t="shared" si="5"/>
        <v>0.7381606924989385</v>
      </c>
      <c r="J33" s="1">
        <f t="shared" si="28"/>
        <v>1.0986497745309902</v>
      </c>
      <c r="K33" s="1">
        <f t="shared" si="29"/>
        <v>0.5616934211229075</v>
      </c>
      <c r="L33" s="1">
        <f t="shared" si="30"/>
        <v>0.8796279394673799</v>
      </c>
      <c r="M33" s="1">
        <f t="shared" si="6"/>
        <v>1.42663258325363</v>
      </c>
      <c r="N33" s="1">
        <f t="shared" si="31"/>
        <v>1.0857307249712314</v>
      </c>
      <c r="O33" s="1">
        <f t="shared" si="7"/>
        <v>0.8734947008623699</v>
      </c>
      <c r="P33" s="1">
        <f t="shared" si="8"/>
        <v>0.6996652394769085</v>
      </c>
      <c r="Q33" s="1">
        <f t="shared" si="9"/>
        <v>1.1341718135796135</v>
      </c>
      <c r="R33" s="1">
        <f t="shared" si="10"/>
        <v>0.37926933349309083</v>
      </c>
      <c r="S33" s="1">
        <f t="shared" si="11"/>
        <v>0.477265457449568</v>
      </c>
      <c r="T33" s="1">
        <f t="shared" si="12"/>
        <v>0.680976593810124</v>
      </c>
      <c r="U33" s="1">
        <f t="shared" si="13"/>
        <v>2.474083345963989</v>
      </c>
      <c r="V33" s="1">
        <f t="shared" si="14"/>
        <v>1.0522088907497071</v>
      </c>
      <c r="W33" s="1">
        <f t="shared" si="15"/>
        <v>2.2270240625953774</v>
      </c>
      <c r="X33" s="1">
        <f t="shared" si="16"/>
        <v>0.740703206130129</v>
      </c>
      <c r="Y33" s="1">
        <f t="shared" si="17"/>
        <v>1.317983809762906</v>
      </c>
      <c r="Z33" s="1">
        <f t="shared" si="18"/>
        <v>0.9255559461026234</v>
      </c>
      <c r="AA33" s="1">
        <f t="shared" si="19"/>
        <v>0.8242091592028052</v>
      </c>
      <c r="AB33" s="1">
        <f t="shared" si="32"/>
        <v>0.5879190660248071</v>
      </c>
      <c r="AC33" s="1">
        <f t="shared" si="20"/>
        <v>0.44273506469619484</v>
      </c>
      <c r="AD33" s="1">
        <f t="shared" si="21"/>
        <v>1.077828373554945</v>
      </c>
      <c r="AE33" s="1">
        <f t="shared" si="22"/>
        <v>0.7685062974274653</v>
      </c>
      <c r="AF33" s="1">
        <f t="shared" si="23"/>
        <v>1.0337775321132887</v>
      </c>
      <c r="AG33" s="1">
        <f t="shared" si="24"/>
        <v>0.9832957931700219</v>
      </c>
      <c r="AH33" s="1">
        <f t="shared" si="25"/>
        <v>0.9729697461734998</v>
      </c>
      <c r="AI33" s="1">
        <f t="shared" si="33"/>
        <v>1.0177698929033043</v>
      </c>
      <c r="AJ33" s="1">
        <f t="shared" si="34"/>
        <v>0.6924715174355384</v>
      </c>
      <c r="AK33" s="1">
        <f t="shared" si="35"/>
        <v>0.8696289062499999</v>
      </c>
    </row>
    <row r="34" spans="1:37" ht="12.75">
      <c r="A34" t="s">
        <v>15</v>
      </c>
      <c r="B34" s="1">
        <f t="shared" si="26"/>
        <v>1.0882595564312285</v>
      </c>
      <c r="C34" s="1">
        <f t="shared" si="27"/>
        <v>1.0644894046763207</v>
      </c>
      <c r="D34" s="1">
        <f t="shared" si="0"/>
        <v>0.8840509791232835</v>
      </c>
      <c r="E34" s="1">
        <f t="shared" si="1"/>
        <v>0.9869834723684721</v>
      </c>
      <c r="F34" s="1">
        <f t="shared" si="2"/>
        <v>0.9799155470925591</v>
      </c>
      <c r="G34" s="1">
        <f t="shared" si="3"/>
        <v>0.45481001488509704</v>
      </c>
      <c r="H34" s="1">
        <f t="shared" si="4"/>
        <v>0.782138452187937</v>
      </c>
      <c r="I34" s="1">
        <f t="shared" si="5"/>
        <v>0.8481260011007246</v>
      </c>
      <c r="J34" s="1">
        <f t="shared" si="28"/>
        <v>0.8800043880180328</v>
      </c>
      <c r="K34" s="1">
        <f t="shared" si="29"/>
        <v>0.49204364730702005</v>
      </c>
      <c r="L34" s="1">
        <f t="shared" si="30"/>
        <v>0.21352287777455511</v>
      </c>
      <c r="M34" s="1">
        <f t="shared" si="6"/>
        <v>1.18936223887922</v>
      </c>
      <c r="N34" s="1">
        <f t="shared" si="31"/>
        <v>0.8104142692750289</v>
      </c>
      <c r="O34" s="1">
        <f t="shared" si="7"/>
        <v>0.7744653241470321</v>
      </c>
      <c r="P34" s="1">
        <f t="shared" si="8"/>
        <v>0.5087163710775086</v>
      </c>
      <c r="Q34" s="1">
        <f t="shared" si="9"/>
        <v>1.0913432844297322</v>
      </c>
      <c r="R34" s="1">
        <f t="shared" si="10"/>
        <v>0.38092516927558323</v>
      </c>
      <c r="S34" s="1">
        <f t="shared" si="11"/>
        <v>0.625507388256955</v>
      </c>
      <c r="T34" s="1">
        <f t="shared" si="12"/>
        <v>0.5632732716433679</v>
      </c>
      <c r="U34" s="1">
        <f t="shared" si="13"/>
        <v>2.508152994583958</v>
      </c>
      <c r="V34" s="1">
        <f t="shared" si="14"/>
        <v>0.5366502305161329</v>
      </c>
      <c r="W34" s="1">
        <f t="shared" si="15"/>
        <v>3.5779519461523237</v>
      </c>
      <c r="X34" s="1">
        <f t="shared" si="16"/>
        <v>0.4892971607616199</v>
      </c>
      <c r="Y34" s="1">
        <f t="shared" si="17"/>
        <v>0.7333983332647668</v>
      </c>
      <c r="Z34" s="1">
        <f t="shared" si="18"/>
        <v>0.8838164540144556</v>
      </c>
      <c r="AA34" s="1">
        <f t="shared" si="19"/>
        <v>0.569952860095138</v>
      </c>
      <c r="AB34" s="1">
        <f t="shared" si="32"/>
        <v>0.5744873037088736</v>
      </c>
      <c r="AC34" s="1">
        <f t="shared" si="20"/>
        <v>0.2428609946168832</v>
      </c>
      <c r="AD34" s="1">
        <f t="shared" si="21"/>
        <v>1.1292530993527123</v>
      </c>
      <c r="AE34" s="1">
        <f t="shared" si="22"/>
        <v>0.6000755267580137</v>
      </c>
      <c r="AF34" s="1">
        <f t="shared" si="23"/>
        <v>1.0370219055286527</v>
      </c>
      <c r="AG34" s="1">
        <f t="shared" si="24"/>
        <v>1.0885574784202352</v>
      </c>
      <c r="AH34" s="1">
        <f t="shared" si="25"/>
        <v>1.0665727452900022</v>
      </c>
      <c r="AI34" s="1">
        <f t="shared" si="33"/>
        <v>0.9535865064292448</v>
      </c>
      <c r="AJ34" s="1">
        <f t="shared" si="34"/>
        <v>0.4190122013067268</v>
      </c>
      <c r="AK34" s="1">
        <f t="shared" si="35"/>
        <v>0.763671875</v>
      </c>
    </row>
    <row r="35" spans="20:25" ht="12.75">
      <c r="T35" s="5"/>
      <c r="U35" s="5"/>
      <c r="V35" s="5"/>
      <c r="W35" s="5"/>
      <c r="X35" s="5"/>
      <c r="Y35" s="5"/>
    </row>
    <row r="36" spans="2:38" ht="12.75">
      <c r="B36" s="17" t="s">
        <v>17</v>
      </c>
      <c r="C36" s="17"/>
      <c r="D36" s="17"/>
      <c r="E36" s="17"/>
      <c r="F36" s="17"/>
      <c r="G36" s="17" t="s">
        <v>17</v>
      </c>
      <c r="H36" s="17"/>
      <c r="I36" s="17"/>
      <c r="J36" s="17" t="s">
        <v>17</v>
      </c>
      <c r="K36" s="17"/>
      <c r="L36" s="17"/>
      <c r="M36" s="17"/>
      <c r="N36" s="17"/>
      <c r="O36" s="17" t="s">
        <v>17</v>
      </c>
      <c r="P36" s="17"/>
      <c r="Q36" s="17"/>
      <c r="R36" s="17"/>
      <c r="S36" s="17"/>
      <c r="T36" s="17"/>
      <c r="U36" s="17"/>
      <c r="V36" s="17"/>
      <c r="W36" s="17" t="s">
        <v>17</v>
      </c>
      <c r="X36" s="17"/>
      <c r="Y36" s="17"/>
      <c r="Z36" s="17"/>
      <c r="AA36" s="17"/>
      <c r="AB36" s="17"/>
      <c r="AC36" s="17" t="s">
        <v>17</v>
      </c>
      <c r="AD36" s="17"/>
      <c r="AE36" s="17"/>
      <c r="AF36" s="17"/>
      <c r="AG36" s="17"/>
      <c r="AH36" s="17" t="s">
        <v>17</v>
      </c>
      <c r="AI36" s="17"/>
      <c r="AJ36" s="17"/>
      <c r="AK36" s="17"/>
      <c r="AL36" s="17"/>
    </row>
    <row r="37" spans="1:37" ht="12.75">
      <c r="A37" t="s">
        <v>4</v>
      </c>
      <c r="B37" s="20" t="s">
        <v>16</v>
      </c>
      <c r="C37" s="20"/>
      <c r="E37" s="1">
        <f aca="true" t="shared" si="36" ref="E37:E48">E4/16.4373823959858</f>
        <v>1.7144955019541621</v>
      </c>
      <c r="F37" s="1">
        <f aca="true" t="shared" si="37" ref="F37:F48">F4/6.3307547564</f>
        <v>0.4307974060348644</v>
      </c>
      <c r="G37" s="1">
        <f aca="true" t="shared" si="38" ref="G37:G48">G4/78.447563997</f>
        <v>1.214035087713394</v>
      </c>
      <c r="H37" s="1">
        <f aca="true" t="shared" si="39" ref="H37:H48">H4/368.70355078</f>
        <v>0.7749160134356329</v>
      </c>
      <c r="I37" s="1">
        <f aca="true" t="shared" si="40" ref="I37:I48">I4/83.498677249</f>
        <v>1.0887488748821916</v>
      </c>
      <c r="J37" s="22" t="s">
        <v>16</v>
      </c>
      <c r="K37" s="22"/>
      <c r="L37" s="22"/>
      <c r="M37" s="1">
        <f aca="true" t="shared" si="41" ref="M37:M48">M4/13.336225202</f>
        <v>6.69266392877159</v>
      </c>
      <c r="N37" s="7" t="s">
        <v>28</v>
      </c>
      <c r="O37" s="1">
        <f aca="true" t="shared" si="42" ref="O37:O48">O4/26.990008122</f>
        <v>2.36217419190149</v>
      </c>
      <c r="P37" s="1">
        <f aca="true" t="shared" si="43" ref="P37:P48">P4/47.238320854</f>
        <v>3.0949201361720355</v>
      </c>
      <c r="Q37" s="1">
        <f aca="true" t="shared" si="44" ref="Q37:Q48">Q4/2792.6233485</f>
        <v>0.5656646289047527</v>
      </c>
      <c r="R37" s="1">
        <f aca="true" t="shared" si="45" ref="R37:R48">R4/379.14836156</f>
        <v>0.41109624255974586</v>
      </c>
      <c r="S37" s="1">
        <f aca="true" t="shared" si="46" ref="S37:S48">S4/326.08192835</f>
        <v>0.34941423438132097</v>
      </c>
      <c r="T37" s="1">
        <f aca="true" t="shared" si="47" ref="T37:T48">T4/2076.6455087</f>
        <v>0.5518711926030324</v>
      </c>
      <c r="U37" s="1">
        <f aca="true" t="shared" si="48" ref="U37:U48">U4/332.3884271</f>
        <v>0</v>
      </c>
      <c r="V37" s="1">
        <f aca="true" t="shared" si="49" ref="V37:V48">V4/231.90311275</f>
        <v>1.2754446460960667</v>
      </c>
      <c r="W37" s="1">
        <f aca="true" t="shared" si="50" ref="W37:W48">W4/707.85781858</f>
        <v>0.5717681263052384</v>
      </c>
      <c r="X37" s="1">
        <f aca="true" t="shared" si="51" ref="X37:X48">X4/2.2114536084</f>
        <v>1.3300882708672968</v>
      </c>
      <c r="Y37" s="1">
        <f aca="true" t="shared" si="52" ref="Y37:Y48">Y4/0.1476021253</f>
        <v>0</v>
      </c>
      <c r="Z37" s="1">
        <f aca="true" t="shared" si="53" ref="Z37:Z48">Z4/400.19038195</f>
        <v>0.8673278661488831</v>
      </c>
      <c r="AA37" s="1">
        <f aca="true" t="shared" si="54" ref="AA37:AA48">AA4/38.084815473</f>
        <v>0.9860980439467968</v>
      </c>
      <c r="AB37" s="7" t="s">
        <v>16</v>
      </c>
      <c r="AC37" s="1">
        <f aca="true" t="shared" si="55" ref="AC37:AC48">AC4/5.4401003554</f>
        <v>0.3342184333778366</v>
      </c>
      <c r="AD37" s="1">
        <f aca="true" t="shared" si="56" ref="AD37:AD48">AD4/75.082584152</f>
        <v>1.1381407075974186</v>
      </c>
      <c r="AE37" s="1">
        <f aca="true" t="shared" si="57" ref="AE37:AE48">AE4/19.477315492</f>
        <v>0.653440805650426</v>
      </c>
      <c r="AF37" s="1">
        <f aca="true" t="shared" si="58" ref="AF37:AF48">AF4/0.85188</f>
        <v>0.9651828896088651</v>
      </c>
      <c r="AG37" s="1">
        <f aca="true" t="shared" si="59" ref="AG37:AG48">AG4/0.72561</f>
        <v>1.1146759278400242</v>
      </c>
      <c r="AH37" s="1">
        <f aca="true" t="shared" si="60" ref="AH37:AH48">AH4/0.84314</f>
        <v>1.0166045971013118</v>
      </c>
      <c r="AI37" t="s">
        <v>16</v>
      </c>
      <c r="AJ37" s="7" t="s">
        <v>16</v>
      </c>
      <c r="AK37" s="10" t="s">
        <v>16</v>
      </c>
    </row>
    <row r="38" spans="1:37" ht="12.75">
      <c r="A38" t="s">
        <v>5</v>
      </c>
      <c r="B38" s="1">
        <f aca="true" t="shared" si="61" ref="B38:B48">B5/7.0947570947571</f>
        <v>1.0973549938420024</v>
      </c>
      <c r="C38" s="1">
        <f aca="true" t="shared" si="62" ref="C38:C48">C5/6.01250601250601</f>
        <v>1.2948788927335646</v>
      </c>
      <c r="D38" s="1">
        <f aca="true" t="shared" si="63" ref="D38:D48">D4/4.75015680535229</f>
        <v>0.5741437259923174</v>
      </c>
      <c r="E38" s="1">
        <f t="shared" si="36"/>
        <v>0.9962558837941049</v>
      </c>
      <c r="F38" s="1">
        <f t="shared" si="37"/>
        <v>1.0035876930909444</v>
      </c>
      <c r="G38" s="1">
        <f t="shared" si="38"/>
        <v>1.86413129597743</v>
      </c>
      <c r="H38" s="1">
        <f t="shared" si="39"/>
        <v>1.376517477649229</v>
      </c>
      <c r="I38" s="1">
        <f t="shared" si="40"/>
        <v>0.6544392144086862</v>
      </c>
      <c r="J38" s="1">
        <f aca="true" t="shared" si="64" ref="J38:J48">J5/17.491288735</f>
        <v>2.830348094473897</v>
      </c>
      <c r="K38" s="1">
        <f aca="true" t="shared" si="65" ref="K38:K48">K5/5.942856249</f>
        <v>6.184069196892331</v>
      </c>
      <c r="L38" s="1">
        <f aca="true" t="shared" si="66" ref="L38:L48">L5/3.7450894333</f>
        <v>3.4313748848652894</v>
      </c>
      <c r="M38" s="1">
        <f t="shared" si="41"/>
        <v>1.041759597229693</v>
      </c>
      <c r="N38" s="1">
        <f aca="true" t="shared" si="67" ref="N38:N48">N5/41.19</f>
        <v>1.9036173828599174</v>
      </c>
      <c r="O38" s="1">
        <f t="shared" si="42"/>
        <v>1.2130148916966674</v>
      </c>
      <c r="P38" s="1">
        <f t="shared" si="43"/>
        <v>2.159962214265712</v>
      </c>
      <c r="Q38" s="1">
        <f t="shared" si="44"/>
        <v>0.8894438174536377</v>
      </c>
      <c r="R38" s="1">
        <f t="shared" si="45"/>
        <v>0.21706320583684285</v>
      </c>
      <c r="S38" s="1">
        <f t="shared" si="46"/>
        <v>0.24943525772976188</v>
      </c>
      <c r="T38" s="1">
        <f t="shared" si="47"/>
        <v>0.7724435319267257</v>
      </c>
      <c r="U38" s="1">
        <f t="shared" si="48"/>
        <v>1.8994695312904293</v>
      </c>
      <c r="V38" s="1">
        <f t="shared" si="49"/>
        <v>0.7900476129335612</v>
      </c>
      <c r="W38" s="1">
        <f t="shared" si="50"/>
        <v>0.3207800401435244</v>
      </c>
      <c r="X38" s="1">
        <f t="shared" si="51"/>
        <v>0.8061752827769607</v>
      </c>
      <c r="Y38" s="1">
        <f t="shared" si="52"/>
        <v>0</v>
      </c>
      <c r="Z38" s="1">
        <f t="shared" si="53"/>
        <v>0.9291347946899352</v>
      </c>
      <c r="AA38" s="1">
        <f t="shared" si="54"/>
        <v>0.989849121330939</v>
      </c>
      <c r="AB38" s="1">
        <f aca="true" t="shared" si="68" ref="AB38:AB48">AB5/9.9161827804</f>
        <v>0.3971174475810896</v>
      </c>
      <c r="AC38" s="1">
        <f t="shared" si="55"/>
        <v>0.10691999099292938</v>
      </c>
      <c r="AD38" s="1">
        <f t="shared" si="56"/>
        <v>0.8485808959773642</v>
      </c>
      <c r="AE38" s="1">
        <f t="shared" si="57"/>
        <v>1.8331426628923861</v>
      </c>
      <c r="AF38" s="1">
        <f t="shared" si="58"/>
        <v>0.9178405409212566</v>
      </c>
      <c r="AG38" s="1">
        <f t="shared" si="59"/>
        <v>0.9804991662187676</v>
      </c>
      <c r="AH38" s="1">
        <f t="shared" si="60"/>
        <v>0.9610740802239249</v>
      </c>
      <c r="AI38" s="1">
        <f aca="true" t="shared" si="69" ref="AI38:AI48">AI5/53.031053254</f>
        <v>0.9604680448461228</v>
      </c>
      <c r="AJ38" s="1">
        <f aca="true" t="shared" si="70" ref="AJ38:AJ48">AJ5/5.27135588546354</f>
        <v>4.226699848363064</v>
      </c>
      <c r="AK38" s="1">
        <f aca="true" t="shared" si="71" ref="AK38:AK48">AK5/37.25</f>
        <v>1.4641610738255033</v>
      </c>
    </row>
    <row r="39" spans="1:37" ht="12.75">
      <c r="A39" t="s">
        <v>6</v>
      </c>
      <c r="B39" s="1">
        <f t="shared" si="61"/>
        <v>1.4331255253148854</v>
      </c>
      <c r="C39" s="1">
        <f t="shared" si="62"/>
        <v>1.6317516946129156</v>
      </c>
      <c r="D39" s="1">
        <f t="shared" si="63"/>
        <v>1.0549516337397988</v>
      </c>
      <c r="E39" s="1">
        <f t="shared" si="36"/>
        <v>1.1543927240646201</v>
      </c>
      <c r="F39" s="1">
        <f t="shared" si="37"/>
        <v>1.032468163040466</v>
      </c>
      <c r="G39" s="1">
        <f t="shared" si="38"/>
        <v>1.8339908385874415</v>
      </c>
      <c r="H39" s="1">
        <f t="shared" si="39"/>
        <v>0.9008570706936005</v>
      </c>
      <c r="I39" s="1">
        <f t="shared" si="40"/>
        <v>0.49133282559265135</v>
      </c>
      <c r="J39" s="1">
        <f t="shared" si="64"/>
        <v>2.5126643311911456</v>
      </c>
      <c r="K39" s="1">
        <f t="shared" si="65"/>
        <v>7.967724534135875</v>
      </c>
      <c r="L39" s="1">
        <f t="shared" si="66"/>
        <v>4.414995752566185</v>
      </c>
      <c r="M39" s="1">
        <f t="shared" si="41"/>
        <v>1.3677022659503828</v>
      </c>
      <c r="N39" s="1">
        <f t="shared" si="67"/>
        <v>2.759893177955815</v>
      </c>
      <c r="O39" s="1">
        <f t="shared" si="42"/>
        <v>2.6933494348134825</v>
      </c>
      <c r="P39" s="1">
        <f t="shared" si="43"/>
        <v>2.9794400072982743</v>
      </c>
      <c r="Q39" s="1">
        <f t="shared" si="44"/>
        <v>0.5719192927173222</v>
      </c>
      <c r="R39" s="1">
        <f t="shared" si="45"/>
        <v>0.3577555316918722</v>
      </c>
      <c r="S39" s="1">
        <f t="shared" si="46"/>
        <v>0.44415764710684863</v>
      </c>
      <c r="T39" s="1">
        <f t="shared" si="47"/>
        <v>0.5570917489544084</v>
      </c>
      <c r="U39" s="1">
        <f t="shared" si="48"/>
        <v>0.8702530203104054</v>
      </c>
      <c r="V39" s="1">
        <f t="shared" si="49"/>
        <v>0.5236969416228762</v>
      </c>
      <c r="W39" s="1">
        <f t="shared" si="50"/>
        <v>0.43685827795239834</v>
      </c>
      <c r="X39" s="1">
        <f t="shared" si="51"/>
        <v>0.318967264346254</v>
      </c>
      <c r="Y39" s="1">
        <f t="shared" si="52"/>
        <v>0.6733319123827007</v>
      </c>
      <c r="Z39" s="1">
        <f t="shared" si="53"/>
        <v>0.6662405923171637</v>
      </c>
      <c r="AA39" s="1">
        <f t="shared" si="54"/>
        <v>0.5411513645539674</v>
      </c>
      <c r="AB39" s="1">
        <f t="shared" si="68"/>
        <v>0.389444873861454</v>
      </c>
      <c r="AC39" s="1">
        <f t="shared" si="55"/>
        <v>0.07987838712729935</v>
      </c>
      <c r="AD39" s="1">
        <f t="shared" si="56"/>
        <v>0.8524622644636969</v>
      </c>
      <c r="AE39" s="1">
        <f t="shared" si="57"/>
        <v>1.8257333185163975</v>
      </c>
      <c r="AF39" s="1">
        <f t="shared" si="58"/>
        <v>0.5608888575855755</v>
      </c>
      <c r="AG39" s="1">
        <f t="shared" si="59"/>
        <v>0.5707060266534364</v>
      </c>
      <c r="AH39" s="1">
        <f t="shared" si="60"/>
        <v>0.6865407880067367</v>
      </c>
      <c r="AI39" s="1">
        <f t="shared" si="69"/>
        <v>0.8527239170869967</v>
      </c>
      <c r="AJ39" s="1">
        <f t="shared" si="70"/>
        <v>1.5554288688037197</v>
      </c>
      <c r="AK39" s="1">
        <f t="shared" si="71"/>
        <v>1.5374496644295303</v>
      </c>
    </row>
    <row r="40" spans="1:37" ht="12.75">
      <c r="A40" t="s">
        <v>7</v>
      </c>
      <c r="B40" s="1">
        <f t="shared" si="61"/>
        <v>0.6756412179391026</v>
      </c>
      <c r="C40" s="1">
        <f t="shared" si="62"/>
        <v>0.7359292035398233</v>
      </c>
      <c r="D40" s="1">
        <f t="shared" si="63"/>
        <v>1.0329666528958286</v>
      </c>
      <c r="E40" s="1">
        <f t="shared" si="36"/>
        <v>1.030122371647108</v>
      </c>
      <c r="F40" s="1">
        <f t="shared" si="37"/>
        <v>1.0013763834859013</v>
      </c>
      <c r="G40" s="1">
        <f t="shared" si="38"/>
        <v>2.3043319838065717</v>
      </c>
      <c r="H40" s="1">
        <f t="shared" si="39"/>
        <v>1.5699500387925176</v>
      </c>
      <c r="I40" s="1">
        <f t="shared" si="40"/>
        <v>1.010265443720071</v>
      </c>
      <c r="J40" s="1">
        <f t="shared" si="64"/>
        <v>1.7719481928156506</v>
      </c>
      <c r="K40" s="1">
        <f t="shared" si="65"/>
        <v>1.6312358593279515</v>
      </c>
      <c r="L40" s="1">
        <f t="shared" si="66"/>
        <v>1.9851195543143827</v>
      </c>
      <c r="M40" s="1">
        <f t="shared" si="41"/>
        <v>1.454602608472058</v>
      </c>
      <c r="N40" s="1">
        <f t="shared" si="67"/>
        <v>1.87011410536538</v>
      </c>
      <c r="O40" s="1">
        <f t="shared" si="42"/>
        <v>0.9204540061531146</v>
      </c>
      <c r="P40" s="1">
        <f t="shared" si="43"/>
        <v>1.3182694957440877</v>
      </c>
      <c r="Q40" s="1">
        <f t="shared" si="44"/>
        <v>1.2816511409683935</v>
      </c>
      <c r="R40" s="1">
        <f t="shared" si="45"/>
        <v>0.18397990696568314</v>
      </c>
      <c r="S40" s="1">
        <f t="shared" si="46"/>
        <v>0.3235730633521936</v>
      </c>
      <c r="T40" s="1">
        <f t="shared" si="47"/>
        <v>1.2023968144005068</v>
      </c>
      <c r="U40" s="1">
        <f t="shared" si="48"/>
        <v>2.59312777619868</v>
      </c>
      <c r="V40" s="1">
        <f t="shared" si="49"/>
        <v>0.7390697994414911</v>
      </c>
      <c r="W40" s="1">
        <f t="shared" si="50"/>
        <v>0.30922536244510235</v>
      </c>
      <c r="X40" s="1">
        <f t="shared" si="51"/>
        <v>2.207118430592532</v>
      </c>
      <c r="Y40" s="1">
        <f t="shared" si="52"/>
        <v>2.690916835328251</v>
      </c>
      <c r="Z40" s="1">
        <f t="shared" si="53"/>
        <v>1.1966364072683582</v>
      </c>
      <c r="AA40" s="1">
        <f t="shared" si="54"/>
        <v>1.9366852293741714</v>
      </c>
      <c r="AB40" s="1">
        <f t="shared" si="68"/>
        <v>0.8256356935737872</v>
      </c>
      <c r="AC40" s="1">
        <f t="shared" si="55"/>
        <v>0.07518206067540957</v>
      </c>
      <c r="AD40" s="1">
        <f t="shared" si="56"/>
        <v>0.8949926906079992</v>
      </c>
      <c r="AE40" s="1">
        <f t="shared" si="57"/>
        <v>1.6630956175816305</v>
      </c>
      <c r="AF40" s="1">
        <f t="shared" si="58"/>
        <v>1.0408156078320892</v>
      </c>
      <c r="AG40" s="1">
        <f t="shared" si="59"/>
        <v>0.9920480698998085</v>
      </c>
      <c r="AH40" s="1">
        <f t="shared" si="60"/>
        <v>0.9950423417226084</v>
      </c>
      <c r="AI40" s="1">
        <f t="shared" si="69"/>
        <v>1.0368912893852893</v>
      </c>
      <c r="AJ40" s="1">
        <f t="shared" si="70"/>
        <v>1.6806182446378284</v>
      </c>
      <c r="AK40" s="1">
        <f t="shared" si="71"/>
        <v>1.2042953020134228</v>
      </c>
    </row>
    <row r="41" spans="1:37" ht="12.75">
      <c r="A41" t="s">
        <v>8</v>
      </c>
      <c r="B41" s="1">
        <f t="shared" si="61"/>
        <v>1.1550650374458011</v>
      </c>
      <c r="C41" s="1">
        <f t="shared" si="62"/>
        <v>1.0682790697674422</v>
      </c>
      <c r="D41" s="1">
        <f t="shared" si="63"/>
        <v>0.9557320919381318</v>
      </c>
      <c r="E41" s="1">
        <f t="shared" si="36"/>
        <v>1.0233863891053696</v>
      </c>
      <c r="F41" s="1">
        <f t="shared" si="37"/>
        <v>1.1761763457939152</v>
      </c>
      <c r="G41" s="1">
        <f t="shared" si="38"/>
        <v>0.6716826430329315</v>
      </c>
      <c r="H41" s="1">
        <f t="shared" si="39"/>
        <v>1.006591934997258</v>
      </c>
      <c r="I41" s="1">
        <f t="shared" si="40"/>
        <v>1.1974155161984608</v>
      </c>
      <c r="J41" s="1">
        <f t="shared" si="64"/>
        <v>0.6986328216369702</v>
      </c>
      <c r="K41" s="1">
        <f t="shared" si="65"/>
        <v>0.6342444299799855</v>
      </c>
      <c r="L41" s="1">
        <f t="shared" si="66"/>
        <v>0.7766524730858154</v>
      </c>
      <c r="M41" s="1">
        <f t="shared" si="41"/>
        <v>0.8499249885417465</v>
      </c>
      <c r="N41" s="1">
        <f t="shared" si="67"/>
        <v>0.767419276523428</v>
      </c>
      <c r="O41" s="1">
        <f t="shared" si="42"/>
        <v>1.0800957492205383</v>
      </c>
      <c r="P41" s="1">
        <f t="shared" si="43"/>
        <v>1.1914782703211622</v>
      </c>
      <c r="Q41" s="1">
        <f t="shared" si="44"/>
        <v>0.8534085065499839</v>
      </c>
      <c r="R41" s="1">
        <f t="shared" si="45"/>
        <v>2.176892908369819</v>
      </c>
      <c r="S41" s="1">
        <f t="shared" si="46"/>
        <v>0.8014227667026738</v>
      </c>
      <c r="T41" s="1">
        <f t="shared" si="47"/>
        <v>0.9840960334050104</v>
      </c>
      <c r="U41" s="1">
        <f t="shared" si="48"/>
        <v>0.5700871710042759</v>
      </c>
      <c r="V41" s="1">
        <f t="shared" si="49"/>
        <v>0.4084440556221038</v>
      </c>
      <c r="W41" s="1">
        <f t="shared" si="50"/>
        <v>1.610742034731288</v>
      </c>
      <c r="X41" s="1">
        <f t="shared" si="51"/>
        <v>0.876620229850805</v>
      </c>
      <c r="Y41" s="1">
        <f t="shared" si="52"/>
        <v>0</v>
      </c>
      <c r="Z41" s="1">
        <f t="shared" si="53"/>
        <v>1.0769396560706124</v>
      </c>
      <c r="AA41" s="1">
        <f t="shared" si="54"/>
        <v>1.3069061561368591</v>
      </c>
      <c r="AB41" s="1">
        <f t="shared" si="68"/>
        <v>1.2201295645653627</v>
      </c>
      <c r="AC41" s="1">
        <f t="shared" si="55"/>
        <v>2.75834532245438</v>
      </c>
      <c r="AD41" s="1">
        <f t="shared" si="56"/>
        <v>0.8774296053213979</v>
      </c>
      <c r="AE41" s="1">
        <f t="shared" si="57"/>
        <v>0.9813797214431854</v>
      </c>
      <c r="AF41" s="1">
        <f t="shared" si="58"/>
        <v>0.9750669108325117</v>
      </c>
      <c r="AG41" s="1">
        <f t="shared" si="59"/>
        <v>1.0010336130979451</v>
      </c>
      <c r="AH41" s="1">
        <f t="shared" si="60"/>
        <v>1.0138766990060963</v>
      </c>
      <c r="AI41" s="1">
        <f t="shared" si="69"/>
        <v>0.9665925021795344</v>
      </c>
      <c r="AJ41" s="1">
        <f t="shared" si="70"/>
        <v>0.8863217684213076</v>
      </c>
      <c r="AK41" s="1">
        <f t="shared" si="71"/>
        <v>1.0679194630872484</v>
      </c>
    </row>
    <row r="42" spans="1:37" ht="12.75">
      <c r="A42" t="s">
        <v>9</v>
      </c>
      <c r="B42" s="1">
        <f t="shared" si="61"/>
        <v>1.0105788295490878</v>
      </c>
      <c r="C42" s="1">
        <f t="shared" si="62"/>
        <v>1.1297207547169816</v>
      </c>
      <c r="D42" s="1">
        <f t="shared" si="63"/>
        <v>1.156542261514604</v>
      </c>
      <c r="E42" s="1">
        <f t="shared" si="36"/>
        <v>0.9142033935109523</v>
      </c>
      <c r="F42" s="1">
        <f t="shared" si="37"/>
        <v>1.0644800350364745</v>
      </c>
      <c r="G42" s="1">
        <f t="shared" si="38"/>
        <v>1.3720259552497522</v>
      </c>
      <c r="H42" s="1">
        <f t="shared" si="39"/>
        <v>1.0615287855568722</v>
      </c>
      <c r="I42" s="1">
        <f t="shared" si="40"/>
        <v>1.0625937930060154</v>
      </c>
      <c r="J42" s="1">
        <f t="shared" si="64"/>
        <v>1.0213375225035983</v>
      </c>
      <c r="K42" s="1">
        <f t="shared" si="65"/>
        <v>2.0472534754727163</v>
      </c>
      <c r="L42" s="1">
        <f t="shared" si="66"/>
        <v>1.3911228615198368</v>
      </c>
      <c r="M42" s="1">
        <f t="shared" si="41"/>
        <v>0.8865040164608943</v>
      </c>
      <c r="N42" s="1">
        <f t="shared" si="67"/>
        <v>0.9995144452537025</v>
      </c>
      <c r="O42" s="1">
        <f t="shared" si="42"/>
        <v>1.613490965884638</v>
      </c>
      <c r="P42" s="1">
        <f t="shared" si="43"/>
        <v>1.4602464818805898</v>
      </c>
      <c r="Q42" s="1">
        <f t="shared" si="44"/>
        <v>0.9835132999855746</v>
      </c>
      <c r="R42" s="1">
        <f t="shared" si="45"/>
        <v>1.3001404433393327</v>
      </c>
      <c r="S42" s="1">
        <f t="shared" si="46"/>
        <v>0.7461128605657057</v>
      </c>
      <c r="T42" s="1">
        <f t="shared" si="47"/>
        <v>0.9536202720702709</v>
      </c>
      <c r="U42" s="1">
        <f t="shared" si="48"/>
        <v>0.12012748935445712</v>
      </c>
      <c r="V42" s="1">
        <f t="shared" si="49"/>
        <v>1.0247881430819648</v>
      </c>
      <c r="W42" s="1">
        <f t="shared" si="50"/>
        <v>1.7279417045271568</v>
      </c>
      <c r="X42" s="1">
        <f t="shared" si="51"/>
        <v>0.7660625428293295</v>
      </c>
      <c r="Y42" s="1">
        <f t="shared" si="52"/>
        <v>0.5371498407550369</v>
      </c>
      <c r="Z42" s="1">
        <f t="shared" si="53"/>
        <v>0.893641594476606</v>
      </c>
      <c r="AA42" s="1">
        <f t="shared" si="54"/>
        <v>0.8361224650694529</v>
      </c>
      <c r="AB42" s="1">
        <f t="shared" si="68"/>
        <v>1.0774915636003437</v>
      </c>
      <c r="AC42" s="1">
        <f t="shared" si="55"/>
        <v>1.1960411790825471</v>
      </c>
      <c r="AD42" s="1">
        <f t="shared" si="56"/>
        <v>0.8340931805332891</v>
      </c>
      <c r="AE42" s="1">
        <f t="shared" si="57"/>
        <v>1.5847946064065328</v>
      </c>
      <c r="AF42" s="1">
        <f t="shared" si="58"/>
        <v>0.9180753157721745</v>
      </c>
      <c r="AG42" s="1">
        <f t="shared" si="59"/>
        <v>0.8889348272487977</v>
      </c>
      <c r="AH42" s="1">
        <f t="shared" si="60"/>
        <v>0.9217686267998197</v>
      </c>
      <c r="AI42" s="1">
        <f t="shared" si="69"/>
        <v>1.0616120329602081</v>
      </c>
      <c r="AJ42" s="1">
        <f t="shared" si="70"/>
        <v>1.6781747467791803</v>
      </c>
      <c r="AK42" s="1">
        <f t="shared" si="71"/>
        <v>1.2558389261744967</v>
      </c>
    </row>
    <row r="43" spans="1:37" ht="12.75">
      <c r="A43" t="s">
        <v>10</v>
      </c>
      <c r="B43" s="1">
        <f t="shared" si="61"/>
        <v>0.924689847981827</v>
      </c>
      <c r="C43" s="1">
        <f t="shared" si="62"/>
        <v>1.0911340206185574</v>
      </c>
      <c r="D43" s="1">
        <f t="shared" si="63"/>
        <v>1.0517814964925103</v>
      </c>
      <c r="E43" s="1">
        <f t="shared" si="36"/>
        <v>0.9944802909873566</v>
      </c>
      <c r="F43" s="1">
        <f t="shared" si="37"/>
        <v>1.0902207317417545</v>
      </c>
      <c r="G43" s="1">
        <f t="shared" si="38"/>
        <v>0.9259589652111808</v>
      </c>
      <c r="H43" s="1">
        <f t="shared" si="39"/>
        <v>0.9587943895092423</v>
      </c>
      <c r="I43" s="1">
        <f t="shared" si="40"/>
        <v>0.9008289201000585</v>
      </c>
      <c r="J43" s="1">
        <f t="shared" si="64"/>
        <v>1.0166576409785621</v>
      </c>
      <c r="K43" s="1">
        <f t="shared" si="65"/>
        <v>1.3618832905073017</v>
      </c>
      <c r="L43" s="1">
        <f t="shared" si="66"/>
        <v>1.0630115436768253</v>
      </c>
      <c r="M43" s="1">
        <f t="shared" si="41"/>
        <v>1.1516546999143873</v>
      </c>
      <c r="N43" s="1">
        <f t="shared" si="67"/>
        <v>1.076717649915028</v>
      </c>
      <c r="O43" s="1">
        <f t="shared" si="42"/>
        <v>1.0583407176790178</v>
      </c>
      <c r="P43" s="1">
        <f t="shared" si="43"/>
        <v>0.8636025480051667</v>
      </c>
      <c r="Q43" s="1">
        <f t="shared" si="44"/>
        <v>1.151787182337955</v>
      </c>
      <c r="R43" s="1">
        <f t="shared" si="45"/>
        <v>0.34302357503243114</v>
      </c>
      <c r="S43" s="1">
        <f t="shared" si="46"/>
        <v>0.3178468609237173</v>
      </c>
      <c r="T43" s="1">
        <f t="shared" si="47"/>
        <v>1.1857135784053137</v>
      </c>
      <c r="U43" s="1">
        <f t="shared" si="48"/>
        <v>0.6444935073673629</v>
      </c>
      <c r="V43" s="1">
        <f t="shared" si="49"/>
        <v>2.710919110679337</v>
      </c>
      <c r="W43" s="1">
        <f t="shared" si="50"/>
        <v>0.20063944846283963</v>
      </c>
      <c r="X43" s="1">
        <f t="shared" si="51"/>
        <v>1.0614037848608753</v>
      </c>
      <c r="Y43" s="1">
        <f t="shared" si="52"/>
        <v>4.320625993723412</v>
      </c>
      <c r="Z43" s="1">
        <f t="shared" si="53"/>
        <v>1.0918362280995344</v>
      </c>
      <c r="AA43" s="1">
        <f t="shared" si="54"/>
        <v>1.0803123851858607</v>
      </c>
      <c r="AB43" s="1">
        <f t="shared" si="68"/>
        <v>1.6050868194422254</v>
      </c>
      <c r="AC43" s="1">
        <f t="shared" si="55"/>
        <v>2.2894049405976884</v>
      </c>
      <c r="AD43" s="1">
        <f t="shared" si="56"/>
        <v>0.9385963127525467</v>
      </c>
      <c r="AE43" s="1">
        <f t="shared" si="57"/>
        <v>0.8765669344429183</v>
      </c>
      <c r="AF43" s="1">
        <f t="shared" si="58"/>
        <v>0.9994717565854346</v>
      </c>
      <c r="AG43" s="1">
        <f t="shared" si="59"/>
        <v>0.9888921045740826</v>
      </c>
      <c r="AH43" s="1">
        <f t="shared" si="60"/>
        <v>1.0045781246293617</v>
      </c>
      <c r="AI43" s="1">
        <f t="shared" si="69"/>
        <v>1.0506662172280603</v>
      </c>
      <c r="AJ43" s="1">
        <f t="shared" si="70"/>
        <v>0.8678654936538638</v>
      </c>
      <c r="AK43" s="1">
        <f t="shared" si="71"/>
        <v>1.061744966442953</v>
      </c>
    </row>
    <row r="44" spans="1:37" ht="12.75">
      <c r="A44" t="s">
        <v>11</v>
      </c>
      <c r="B44" s="1">
        <f t="shared" si="61"/>
        <v>0.8421841236064315</v>
      </c>
      <c r="C44" s="1">
        <f t="shared" si="62"/>
        <v>0.7702771578720038</v>
      </c>
      <c r="D44" s="1">
        <f t="shared" si="63"/>
        <v>1.0596978993838484</v>
      </c>
      <c r="E44" s="1">
        <f t="shared" si="36"/>
        <v>0.806150782499522</v>
      </c>
      <c r="F44" s="1">
        <f t="shared" si="37"/>
        <v>1.115504910525995</v>
      </c>
      <c r="G44" s="1">
        <f t="shared" si="38"/>
        <v>0.41463078560659816</v>
      </c>
      <c r="H44" s="1">
        <f t="shared" si="39"/>
        <v>0.9176960563959774</v>
      </c>
      <c r="I44" s="1">
        <f t="shared" si="40"/>
        <v>1.425431394859916</v>
      </c>
      <c r="J44" s="1">
        <f t="shared" si="64"/>
        <v>0.590244454792027</v>
      </c>
      <c r="K44" s="1">
        <f t="shared" si="65"/>
        <v>0.7575820441151646</v>
      </c>
      <c r="L44" s="1">
        <f t="shared" si="66"/>
        <v>1.0211037978952502</v>
      </c>
      <c r="M44" s="1">
        <f t="shared" si="41"/>
        <v>0.36899992196907416</v>
      </c>
      <c r="N44" s="1">
        <f t="shared" si="67"/>
        <v>0.4751153192522457</v>
      </c>
      <c r="O44" s="1">
        <f t="shared" si="42"/>
        <v>0.5413671191558451</v>
      </c>
      <c r="P44" s="1">
        <f t="shared" si="43"/>
        <v>1.3875246463687523</v>
      </c>
      <c r="Q44" s="1">
        <f t="shared" si="44"/>
        <v>0.7760579414922127</v>
      </c>
      <c r="R44" s="1">
        <f t="shared" si="45"/>
        <v>3.558472219552218</v>
      </c>
      <c r="S44" s="1">
        <f t="shared" si="46"/>
        <v>1.4418011307740108</v>
      </c>
      <c r="T44" s="1">
        <f t="shared" si="47"/>
        <v>1.8724092613351866</v>
      </c>
      <c r="U44" s="1">
        <f t="shared" si="48"/>
        <v>0</v>
      </c>
      <c r="V44" s="1">
        <f t="shared" si="49"/>
        <v>0.40872184592097505</v>
      </c>
      <c r="W44" s="1">
        <f t="shared" si="50"/>
        <v>0</v>
      </c>
      <c r="X44" s="1">
        <f t="shared" si="51"/>
        <v>1.5634877198267705</v>
      </c>
      <c r="Y44" s="1">
        <f t="shared" si="52"/>
        <v>0</v>
      </c>
      <c r="Z44" s="1">
        <f t="shared" si="53"/>
        <v>1.0693410484899335</v>
      </c>
      <c r="AA44" s="1">
        <f t="shared" si="54"/>
        <v>0.9193273969207449</v>
      </c>
      <c r="AB44" s="1">
        <f t="shared" si="68"/>
        <v>1.699431380319941</v>
      </c>
      <c r="AC44" s="1">
        <f t="shared" si="55"/>
        <v>0.05528763178080838</v>
      </c>
      <c r="AD44" s="1">
        <f t="shared" si="56"/>
        <v>1.0697598313398018</v>
      </c>
      <c r="AE44" s="1">
        <f t="shared" si="57"/>
        <v>0.9949470287093505</v>
      </c>
      <c r="AF44" s="1">
        <f t="shared" si="58"/>
        <v>1.0192632765178196</v>
      </c>
      <c r="AG44" s="1">
        <f t="shared" si="59"/>
        <v>1.030815451826739</v>
      </c>
      <c r="AH44" s="1">
        <f t="shared" si="60"/>
        <v>1.0302796688568923</v>
      </c>
      <c r="AI44" s="1">
        <f t="shared" si="69"/>
        <v>1.0202924686757722</v>
      </c>
      <c r="AJ44" s="1">
        <f t="shared" si="70"/>
        <v>1.8362929877693355</v>
      </c>
      <c r="AK44" s="1">
        <f t="shared" si="71"/>
        <v>1.1626845637583894</v>
      </c>
    </row>
    <row r="45" spans="1:37" ht="12.75">
      <c r="A45" t="s">
        <v>12</v>
      </c>
      <c r="B45" s="1">
        <f t="shared" si="61"/>
        <v>1.07594772933109</v>
      </c>
      <c r="C45" s="1">
        <f t="shared" si="62"/>
        <v>1.100335877862596</v>
      </c>
      <c r="D45" s="1">
        <f t="shared" si="63"/>
        <v>1.2056152479124653</v>
      </c>
      <c r="E45" s="1">
        <f t="shared" si="36"/>
        <v>1.008544107604579</v>
      </c>
      <c r="F45" s="1">
        <f t="shared" si="37"/>
        <v>0.9261991138848532</v>
      </c>
      <c r="G45" s="1">
        <f t="shared" si="38"/>
        <v>0.8348402492332907</v>
      </c>
      <c r="H45" s="1">
        <f t="shared" si="39"/>
        <v>0.7378293528621926</v>
      </c>
      <c r="I45" s="1">
        <f t="shared" si="40"/>
        <v>0.9411849613215423</v>
      </c>
      <c r="J45" s="1">
        <f t="shared" si="64"/>
        <v>0.9317772533471358</v>
      </c>
      <c r="K45" s="1">
        <f t="shared" si="65"/>
        <v>0.5583580105035113</v>
      </c>
      <c r="L45" s="1">
        <f t="shared" si="66"/>
        <v>0.6592430575481606</v>
      </c>
      <c r="M45" s="1">
        <f t="shared" si="41"/>
        <v>1.1245174647134006</v>
      </c>
      <c r="N45" s="1">
        <f t="shared" si="67"/>
        <v>1.1194464675892208</v>
      </c>
      <c r="O45" s="1">
        <f t="shared" si="42"/>
        <v>0.9519535354291733</v>
      </c>
      <c r="P45" s="1">
        <f t="shared" si="43"/>
        <v>0.5212949616500777</v>
      </c>
      <c r="Q45" s="1">
        <f t="shared" si="44"/>
        <v>1.0182871891862648</v>
      </c>
      <c r="R45" s="1">
        <f t="shared" si="45"/>
        <v>0.4176161019620891</v>
      </c>
      <c r="S45" s="1">
        <f t="shared" si="46"/>
        <v>0.39191585586070704</v>
      </c>
      <c r="T45" s="1">
        <f t="shared" si="47"/>
        <v>1.0155667429826465</v>
      </c>
      <c r="U45" s="1">
        <f t="shared" si="48"/>
        <v>0.6340247013672276</v>
      </c>
      <c r="V45" s="1">
        <f t="shared" si="49"/>
        <v>3.0152144647312413</v>
      </c>
      <c r="W45" s="1">
        <f t="shared" si="50"/>
        <v>0.15344167979649811</v>
      </c>
      <c r="X45" s="1">
        <f t="shared" si="51"/>
        <v>0.9808517166540802</v>
      </c>
      <c r="Y45" s="1">
        <f t="shared" si="52"/>
        <v>0.6199720553752759</v>
      </c>
      <c r="Z45" s="1">
        <f t="shared" si="53"/>
        <v>0.9732791711587511</v>
      </c>
      <c r="AA45" s="1">
        <f t="shared" si="54"/>
        <v>0.9080712182396663</v>
      </c>
      <c r="AB45" s="1">
        <f t="shared" si="68"/>
        <v>1.0708952806910286</v>
      </c>
      <c r="AC45" s="1">
        <f t="shared" si="55"/>
        <v>1.4109861366400485</v>
      </c>
      <c r="AD45" s="1">
        <f t="shared" si="56"/>
        <v>1.0244583003467533</v>
      </c>
      <c r="AE45" s="1">
        <f t="shared" si="57"/>
        <v>0.7909261046434972</v>
      </c>
      <c r="AF45" s="1">
        <f t="shared" si="58"/>
        <v>1.0553716485890032</v>
      </c>
      <c r="AG45" s="1">
        <f t="shared" si="59"/>
        <v>1.1500530588056945</v>
      </c>
      <c r="AH45" s="1">
        <f t="shared" si="60"/>
        <v>1.0862846027943165</v>
      </c>
      <c r="AI45" s="1">
        <f t="shared" si="69"/>
        <v>0.9845924339634275</v>
      </c>
      <c r="AJ45" s="1">
        <f t="shared" si="70"/>
        <v>0.5596872271785106</v>
      </c>
      <c r="AK45" s="1">
        <f t="shared" si="71"/>
        <v>0.7009395973154362</v>
      </c>
    </row>
    <row r="46" spans="1:37" ht="12.75">
      <c r="A46" t="s">
        <v>13</v>
      </c>
      <c r="B46" s="1">
        <f t="shared" si="61"/>
        <v>0.6402622114189549</v>
      </c>
      <c r="C46" s="1">
        <f t="shared" si="62"/>
        <v>0.70154445165477</v>
      </c>
      <c r="D46" s="1">
        <f t="shared" si="63"/>
        <v>0.9650674569806899</v>
      </c>
      <c r="E46" s="1">
        <f t="shared" si="36"/>
        <v>0.9704551639098842</v>
      </c>
      <c r="F46" s="1">
        <f t="shared" si="37"/>
        <v>0.9422490181079288</v>
      </c>
      <c r="G46" s="1">
        <f t="shared" si="38"/>
        <v>1.0926315789395054</v>
      </c>
      <c r="H46" s="1">
        <f t="shared" si="39"/>
        <v>1.002547592389639</v>
      </c>
      <c r="I46" s="1">
        <f t="shared" si="40"/>
        <v>1.3193293368167618</v>
      </c>
      <c r="J46" s="1">
        <f t="shared" si="64"/>
        <v>0.8489688014975186</v>
      </c>
      <c r="K46" s="1">
        <f t="shared" si="65"/>
        <v>1.1601271177239274</v>
      </c>
      <c r="L46" s="1">
        <f t="shared" si="66"/>
        <v>0.6992043322160736</v>
      </c>
      <c r="M46" s="1">
        <f t="shared" si="41"/>
        <v>0.5656274748546346</v>
      </c>
      <c r="N46" s="1">
        <f t="shared" si="67"/>
        <v>0.7028404952658412</v>
      </c>
      <c r="O46" s="1">
        <f t="shared" si="42"/>
        <v>0.8821077690448574</v>
      </c>
      <c r="P46" s="1">
        <f t="shared" si="43"/>
        <v>1.1248357915859462</v>
      </c>
      <c r="Q46" s="1">
        <f t="shared" si="44"/>
        <v>1.1731511998421582</v>
      </c>
      <c r="R46" s="1">
        <f t="shared" si="45"/>
        <v>1.2630548330991975</v>
      </c>
      <c r="S46" s="1">
        <f t="shared" si="46"/>
        <v>0.6152808514878865</v>
      </c>
      <c r="T46" s="1">
        <f t="shared" si="47"/>
        <v>1.7125177781672873</v>
      </c>
      <c r="U46" s="1">
        <f t="shared" si="48"/>
        <v>0.1442301654310515</v>
      </c>
      <c r="V46" s="1">
        <f t="shared" si="49"/>
        <v>1.0335719035750632</v>
      </c>
      <c r="W46" s="1">
        <f t="shared" si="50"/>
        <v>0.15516462811745696</v>
      </c>
      <c r="X46" s="1">
        <f t="shared" si="51"/>
        <v>0.7370820260070169</v>
      </c>
      <c r="Y46" s="1">
        <f t="shared" si="52"/>
        <v>2.0373627946670223</v>
      </c>
      <c r="Z46" s="1">
        <f t="shared" si="53"/>
        <v>1.1700783830894363</v>
      </c>
      <c r="AA46" s="1">
        <f t="shared" si="54"/>
        <v>0.9840049994614819</v>
      </c>
      <c r="AB46" s="1">
        <f t="shared" si="68"/>
        <v>1.9704264346175988</v>
      </c>
      <c r="AC46" s="1">
        <f t="shared" si="55"/>
        <v>0.055441730739510094</v>
      </c>
      <c r="AD46" s="1">
        <f t="shared" si="56"/>
        <v>1.0350533094954737</v>
      </c>
      <c r="AE46" s="1">
        <f t="shared" si="57"/>
        <v>1.1286932338303781</v>
      </c>
      <c r="AF46" s="1">
        <f t="shared" si="58"/>
        <v>0.9855026529558154</v>
      </c>
      <c r="AG46" s="1">
        <f t="shared" si="59"/>
        <v>0.9973401689612877</v>
      </c>
      <c r="AH46" s="1">
        <f t="shared" si="60"/>
        <v>1.0123822852669782</v>
      </c>
      <c r="AI46" s="1">
        <f t="shared" si="69"/>
        <v>1.0052639853231453</v>
      </c>
      <c r="AJ46" s="1">
        <f t="shared" si="70"/>
        <v>2.2809709276064565</v>
      </c>
      <c r="AK46" s="1">
        <f t="shared" si="71"/>
        <v>0.8679194630872483</v>
      </c>
    </row>
    <row r="47" spans="1:37" ht="12.75">
      <c r="A47" t="s">
        <v>14</v>
      </c>
      <c r="B47" s="1">
        <f t="shared" si="61"/>
        <v>1.0141629904806122</v>
      </c>
      <c r="C47" s="1">
        <f t="shared" si="62"/>
        <v>0.9665753424657538</v>
      </c>
      <c r="D47" s="1">
        <f t="shared" si="63"/>
        <v>1.100570413095193</v>
      </c>
      <c r="E47" s="1">
        <f t="shared" si="36"/>
        <v>1.0591915211214393</v>
      </c>
      <c r="F47" s="1">
        <f t="shared" si="37"/>
        <v>0.840872090190892</v>
      </c>
      <c r="G47" s="1">
        <f t="shared" si="38"/>
        <v>0.9925852844070181</v>
      </c>
      <c r="H47" s="1">
        <f t="shared" si="39"/>
        <v>0.9796793291950949</v>
      </c>
      <c r="I47" s="1">
        <f t="shared" si="40"/>
        <v>0.8800057815991332</v>
      </c>
      <c r="J47" s="1">
        <f t="shared" si="64"/>
        <v>1.012588255636042</v>
      </c>
      <c r="K47" s="1">
        <f t="shared" si="65"/>
        <v>0.7786594197156729</v>
      </c>
      <c r="L47" s="1">
        <f t="shared" si="66"/>
        <v>1.0979764655117135</v>
      </c>
      <c r="M47" s="1">
        <f t="shared" si="41"/>
        <v>0.9720722357069868</v>
      </c>
      <c r="N47" s="1">
        <f t="shared" si="67"/>
        <v>0.9162418062636564</v>
      </c>
      <c r="O47" s="1">
        <f t="shared" si="42"/>
        <v>0.7576871669901752</v>
      </c>
      <c r="P47" s="1">
        <f t="shared" si="43"/>
        <v>0.9364055265367117</v>
      </c>
      <c r="Q47" s="1">
        <f t="shared" si="44"/>
        <v>0.9747083163084139</v>
      </c>
      <c r="R47" s="1">
        <f t="shared" si="45"/>
        <v>0.864876454749251</v>
      </c>
      <c r="S47" s="1">
        <f t="shared" si="46"/>
        <v>0.477265457449568</v>
      </c>
      <c r="T47" s="1">
        <f t="shared" si="47"/>
        <v>0.9853252604874883</v>
      </c>
      <c r="U47" s="1">
        <f t="shared" si="48"/>
        <v>1.1400006326513887</v>
      </c>
      <c r="V47" s="1">
        <f t="shared" si="49"/>
        <v>0.6919963102565125</v>
      </c>
      <c r="W47" s="1">
        <f t="shared" si="50"/>
        <v>0.8728463040776208</v>
      </c>
      <c r="X47" s="1">
        <f t="shared" si="51"/>
        <v>0.9147477901937977</v>
      </c>
      <c r="Y47" s="1">
        <f t="shared" si="52"/>
        <v>0.6296537608188492</v>
      </c>
      <c r="Z47" s="1">
        <f t="shared" si="53"/>
        <v>0.9439416555423291</v>
      </c>
      <c r="AA47" s="1">
        <f t="shared" si="54"/>
        <v>0.7638283802798879</v>
      </c>
      <c r="AB47" s="1">
        <f t="shared" si="68"/>
        <v>0.7917478987093964</v>
      </c>
      <c r="AC47" s="1">
        <f t="shared" si="55"/>
        <v>0.15833138152405782</v>
      </c>
      <c r="AD47" s="1">
        <f t="shared" si="56"/>
        <v>1.10374557526191</v>
      </c>
      <c r="AE47" s="1">
        <f t="shared" si="57"/>
        <v>0.8351557156160071</v>
      </c>
      <c r="AF47" s="1">
        <f t="shared" si="58"/>
        <v>1.0099074987087384</v>
      </c>
      <c r="AG47" s="1">
        <f t="shared" si="59"/>
        <v>0.968633287854357</v>
      </c>
      <c r="AH47" s="1">
        <f t="shared" si="60"/>
        <v>0.9665535972673577</v>
      </c>
      <c r="AI47" s="1">
        <f t="shared" si="69"/>
        <v>1.0212352530244166</v>
      </c>
      <c r="AJ47" s="1">
        <f t="shared" si="70"/>
        <v>1.1084101943257338</v>
      </c>
      <c r="AK47" s="1">
        <f t="shared" si="71"/>
        <v>0.956241610738255</v>
      </c>
    </row>
    <row r="48" spans="1:37" ht="12.75">
      <c r="A48" t="s">
        <v>15</v>
      </c>
      <c r="B48" s="1">
        <f t="shared" si="61"/>
        <v>1.0161888167273871</v>
      </c>
      <c r="C48" s="1">
        <f t="shared" si="62"/>
        <v>0.9770467289719631</v>
      </c>
      <c r="D48" s="1">
        <f t="shared" si="63"/>
        <v>0.8977244929617239</v>
      </c>
      <c r="E48" s="1">
        <f t="shared" si="36"/>
        <v>0.8944619166446653</v>
      </c>
      <c r="F48" s="1">
        <f t="shared" si="37"/>
        <v>1.040475113514855</v>
      </c>
      <c r="G48" s="1">
        <f t="shared" si="38"/>
        <v>0.36028901324559764</v>
      </c>
      <c r="H48" s="1">
        <f t="shared" si="39"/>
        <v>0.7519709901720844</v>
      </c>
      <c r="I48" s="1">
        <f t="shared" si="40"/>
        <v>1.0111020433322027</v>
      </c>
      <c r="J48" s="1">
        <f t="shared" si="64"/>
        <v>0.8110702144326588</v>
      </c>
      <c r="K48" s="1">
        <f t="shared" si="65"/>
        <v>0.6821059433470406</v>
      </c>
      <c r="L48" s="1">
        <f t="shared" si="66"/>
        <v>0.26652529339478725</v>
      </c>
      <c r="M48" s="1">
        <f t="shared" si="41"/>
        <v>0.8104020784216508</v>
      </c>
      <c r="N48" s="1">
        <f t="shared" si="67"/>
        <v>0.6839038601602332</v>
      </c>
      <c r="O48" s="1">
        <f t="shared" si="42"/>
        <v>0.6717870604203592</v>
      </c>
      <c r="P48" s="1">
        <f t="shared" si="43"/>
        <v>0.6808467741985077</v>
      </c>
      <c r="Q48" s="1">
        <f t="shared" si="44"/>
        <v>0.9379014383399938</v>
      </c>
      <c r="R48" s="1">
        <f t="shared" si="45"/>
        <v>0.8686523819195796</v>
      </c>
      <c r="S48" s="1">
        <f t="shared" si="46"/>
        <v>0.625507388256955</v>
      </c>
      <c r="T48" s="1">
        <f t="shared" si="47"/>
        <v>0.8150168275275456</v>
      </c>
      <c r="U48" s="1">
        <f t="shared" si="48"/>
        <v>1.1556991421799114</v>
      </c>
      <c r="V48" s="1">
        <f t="shared" si="49"/>
        <v>0.3529337023096944</v>
      </c>
      <c r="W48" s="1">
        <f t="shared" si="50"/>
        <v>1.402320785311513</v>
      </c>
      <c r="X48" s="1">
        <f t="shared" si="51"/>
        <v>0.6042683396676947</v>
      </c>
      <c r="Y48" s="1">
        <f t="shared" si="52"/>
        <v>0.3503738174154868</v>
      </c>
      <c r="Z48" s="1">
        <f t="shared" si="53"/>
        <v>0.9013730291625764</v>
      </c>
      <c r="AA48" s="1">
        <f t="shared" si="54"/>
        <v>0.5281986557677132</v>
      </c>
      <c r="AB48" s="1">
        <f t="shared" si="68"/>
        <v>0.7736594062549678</v>
      </c>
      <c r="AC48" s="1">
        <f t="shared" si="55"/>
        <v>0.08685220544341578</v>
      </c>
      <c r="AD48" s="1">
        <f t="shared" si="56"/>
        <v>1.156406847641607</v>
      </c>
      <c r="AE48" s="1">
        <f t="shared" si="57"/>
        <v>0.6521176308520003</v>
      </c>
      <c r="AF48" s="1">
        <f t="shared" si="58"/>
        <v>1.013076959196131</v>
      </c>
      <c r="AG48" s="1">
        <f t="shared" si="59"/>
        <v>1.072325353840217</v>
      </c>
      <c r="AH48" s="1">
        <f t="shared" si="60"/>
        <v>1.0595393410347036</v>
      </c>
      <c r="AI48" s="1">
        <f t="shared" si="69"/>
        <v>0.956833331349546</v>
      </c>
      <c r="AJ48" s="1">
        <f t="shared" si="70"/>
        <v>0.6706953048339301</v>
      </c>
      <c r="AK48" s="1">
        <f t="shared" si="71"/>
        <v>0.8397315436241611</v>
      </c>
    </row>
    <row r="49" spans="24:28" ht="12.75">
      <c r="X49" s="1"/>
      <c r="Y49" s="1"/>
      <c r="Z49" s="1"/>
      <c r="AA49" s="1"/>
      <c r="AB49" s="1"/>
    </row>
    <row r="50" spans="2:38" ht="12.75">
      <c r="B50" s="17" t="s">
        <v>18</v>
      </c>
      <c r="C50" s="17"/>
      <c r="D50" s="17"/>
      <c r="E50" s="17"/>
      <c r="F50" s="17"/>
      <c r="G50" s="17" t="s">
        <v>18</v>
      </c>
      <c r="H50" s="17"/>
      <c r="I50" s="17"/>
      <c r="J50" s="17" t="s">
        <v>18</v>
      </c>
      <c r="K50" s="17"/>
      <c r="L50" s="17"/>
      <c r="M50" s="17"/>
      <c r="N50" s="17"/>
      <c r="O50" s="17" t="s">
        <v>18</v>
      </c>
      <c r="P50" s="17"/>
      <c r="Q50" s="17"/>
      <c r="R50" s="17"/>
      <c r="S50" s="17"/>
      <c r="T50" s="17"/>
      <c r="U50" s="17"/>
      <c r="V50" s="17"/>
      <c r="W50" s="17" t="s">
        <v>18</v>
      </c>
      <c r="X50" s="17"/>
      <c r="Y50" s="17"/>
      <c r="Z50" s="17"/>
      <c r="AA50" s="17"/>
      <c r="AB50" s="17"/>
      <c r="AC50" s="17" t="s">
        <v>18</v>
      </c>
      <c r="AD50" s="17"/>
      <c r="AE50" s="17"/>
      <c r="AF50" s="17"/>
      <c r="AG50" s="17"/>
      <c r="AH50" s="17" t="s">
        <v>18</v>
      </c>
      <c r="AI50" s="17"/>
      <c r="AJ50" s="17"/>
      <c r="AK50" s="17"/>
      <c r="AL50" s="17"/>
    </row>
    <row r="51" spans="1:37" ht="12.75">
      <c r="A51" t="s">
        <v>4</v>
      </c>
      <c r="B51" s="20" t="s">
        <v>16</v>
      </c>
      <c r="C51" s="20"/>
      <c r="D51" s="1">
        <f aca="true" t="shared" si="72" ref="D51:D62">D4/4.90594814438231</f>
        <v>0.5559114460668863</v>
      </c>
      <c r="E51" s="1">
        <f aca="true" t="shared" si="73" ref="E51:E62">E4/18.3655312658871</f>
        <v>1.534495124252913</v>
      </c>
      <c r="F51" s="1">
        <f aca="true" t="shared" si="74" ref="F51:F62">F4/6.4311133706</f>
        <v>0.42407473949499896</v>
      </c>
      <c r="G51" s="1">
        <f aca="true" t="shared" si="75" ref="G51:G62">G4/143.92059553</f>
        <v>0.6617405583077077</v>
      </c>
      <c r="H51" s="1">
        <f aca="true" t="shared" si="76" ref="H51:H62">H4/382.13399504</f>
        <v>0.7476808905213805</v>
      </c>
      <c r="I51" s="1">
        <f aca="true" t="shared" si="77" ref="I51:I62">I4/45.879476485</f>
        <v>1.9814762040434821</v>
      </c>
      <c r="J51" s="22" t="s">
        <v>16</v>
      </c>
      <c r="K51" s="22"/>
      <c r="L51" s="22"/>
      <c r="M51" s="1">
        <f aca="true" t="shared" si="78" ref="M51:M62">M4/16.680289267</f>
        <v>5.350918795633858</v>
      </c>
      <c r="N51" s="7" t="s">
        <v>28</v>
      </c>
      <c r="O51" s="1">
        <f aca="true" t="shared" si="79" ref="O51:O62">O4/60.202377542</f>
        <v>1.059013002941976</v>
      </c>
      <c r="P51" s="1">
        <f aca="true" t="shared" si="80" ref="P51:P62">P4/127.57309558</f>
        <v>1.1460004928572103</v>
      </c>
      <c r="Q51" s="1">
        <f aca="true" t="shared" si="81" ref="Q51:Q62">Q4/1870.9650838</f>
        <v>0.8443173332190648</v>
      </c>
      <c r="R51" s="1">
        <f aca="true" t="shared" si="82" ref="R51:R62">R4/119.75673198</f>
        <v>1.3015257199572756</v>
      </c>
      <c r="S51" s="1">
        <f aca="true" t="shared" si="83" ref="S51:S62">S4/124.77443424</f>
        <v>0.9131491401583454</v>
      </c>
      <c r="T51" s="1">
        <f aca="true" t="shared" si="84" ref="T51:T62">T4/1295.5684094</f>
        <v>0.8845853489363414</v>
      </c>
      <c r="U51" s="1">
        <f aca="true" t="shared" si="85" ref="U51:U62">U4/391.78573326</f>
        <v>0</v>
      </c>
      <c r="V51" s="1">
        <f aca="true" t="shared" si="86" ref="V51:V62">V4/142.10906933</f>
        <v>2.081356136976398</v>
      </c>
      <c r="W51" s="1">
        <f aca="true" t="shared" si="87" ref="W51:W62">W4/284.88949838</f>
        <v>1.420657977642089</v>
      </c>
      <c r="X51" s="1">
        <f aca="true" t="shared" si="88" ref="X51:X62">X4/1.0759310835</f>
        <v>2.733844714785582</v>
      </c>
      <c r="Y51" s="1">
        <f aca="true" t="shared" si="89" ref="Y51:Y62">Y4/0.067608514</f>
        <v>0</v>
      </c>
      <c r="Z51" s="1">
        <f aca="true" t="shared" si="90" ref="Z51:Z62">Z4/300.23635701</f>
        <v>1.1560767439582251</v>
      </c>
      <c r="AA51" s="1">
        <f aca="true" t="shared" si="91" ref="AA51:AA62">AA4/26.020919256</f>
        <v>1.4432757610337055</v>
      </c>
      <c r="AB51" s="7" t="s">
        <v>16</v>
      </c>
      <c r="AC51" s="1">
        <f aca="true" t="shared" si="92" ref="AC51:AC62">AC4/0.4956786985</f>
        <v>3.6680652682919357</v>
      </c>
      <c r="AD51" s="1">
        <f aca="true" t="shared" si="93" ref="AD51:AD62">AD4/64.222165735</f>
        <v>1.3306082795091525</v>
      </c>
      <c r="AE51" s="1">
        <f aca="true" t="shared" si="94" ref="AE51:AE62">AE4/35.282155567</f>
        <v>0.3607283206614518</v>
      </c>
      <c r="AF51" s="1">
        <f aca="true" t="shared" si="95" ref="AF51:AF62">AF4/0.57168</f>
        <v>1.43825216904562</v>
      </c>
      <c r="AG51" s="1">
        <f aca="true" t="shared" si="96" ref="AG51:AG62">AG4/0.5013</f>
        <v>1.6134450428884899</v>
      </c>
      <c r="AH51" s="1">
        <f aca="true" t="shared" si="97" ref="AH51:AH62">AH4/0.64809</f>
        <v>1.3225632242435463</v>
      </c>
      <c r="AI51" t="s">
        <v>16</v>
      </c>
      <c r="AJ51" s="7" t="s">
        <v>16</v>
      </c>
      <c r="AK51" s="10" t="s">
        <v>16</v>
      </c>
    </row>
    <row r="52" spans="1:37" ht="12.75">
      <c r="A52" t="s">
        <v>5</v>
      </c>
      <c r="B52" s="1">
        <f aca="true" t="shared" si="98" ref="B52:B62">B5/9.33532486930545</f>
        <v>0.8339792387543253</v>
      </c>
      <c r="C52" s="1">
        <f aca="true" t="shared" si="99" ref="C52:C62">C5/9.08638287279064</f>
        <v>0.856827985021567</v>
      </c>
      <c r="D52" s="1">
        <f t="shared" si="72"/>
        <v>1.021451009029685</v>
      </c>
      <c r="E52" s="1">
        <f t="shared" si="73"/>
        <v>0.8916615963400775</v>
      </c>
      <c r="F52" s="1">
        <f t="shared" si="74"/>
        <v>0.9879265370355683</v>
      </c>
      <c r="G52" s="1">
        <f t="shared" si="75"/>
        <v>1.0160919540491842</v>
      </c>
      <c r="H52" s="1">
        <f t="shared" si="76"/>
        <v>1.3281385281277434</v>
      </c>
      <c r="I52" s="1">
        <f t="shared" si="77"/>
        <v>1.19105127018757</v>
      </c>
      <c r="J52" s="1">
        <f aca="true" t="shared" si="100" ref="J52:J62">J5/45.21156787</f>
        <v>1.0949948889927756</v>
      </c>
      <c r="K52" s="1">
        <f aca="true" t="shared" si="101" ref="K52:K62">K5/43.316004689</f>
        <v>0.8484400750915247</v>
      </c>
      <c r="L52" s="1">
        <f aca="true" t="shared" si="102" ref="L52:L62">L5/15.356297039</f>
        <v>0.8368427486368057</v>
      </c>
      <c r="M52" s="1">
        <f t="shared" si="78"/>
        <v>0.8329076536152136</v>
      </c>
      <c r="N52" s="1">
        <f aca="true" t="shared" si="103" ref="N52:N62">N5/101.39</f>
        <v>0.7733504290363941</v>
      </c>
      <c r="O52" s="1">
        <f t="shared" si="79"/>
        <v>0.5438204123443388</v>
      </c>
      <c r="P52" s="1">
        <f t="shared" si="80"/>
        <v>0.7998002058828775</v>
      </c>
      <c r="Q52" s="1">
        <f t="shared" si="81"/>
        <v>1.3275937607318378</v>
      </c>
      <c r="R52" s="1">
        <f t="shared" si="82"/>
        <v>0.687219478081152</v>
      </c>
      <c r="S52" s="1">
        <f t="shared" si="83"/>
        <v>0.6518669496232853</v>
      </c>
      <c r="T52" s="1">
        <f t="shared" si="84"/>
        <v>1.2381371602313784</v>
      </c>
      <c r="U52" s="1">
        <f t="shared" si="85"/>
        <v>1.6114973982756304</v>
      </c>
      <c r="V52" s="1">
        <f t="shared" si="86"/>
        <v>1.2892526952980503</v>
      </c>
      <c r="W52" s="1">
        <f t="shared" si="87"/>
        <v>0.7970341509644804</v>
      </c>
      <c r="X52" s="1">
        <f t="shared" si="88"/>
        <v>1.6570013316285048</v>
      </c>
      <c r="Y52" s="1">
        <f t="shared" si="89"/>
        <v>0</v>
      </c>
      <c r="Z52" s="1">
        <f t="shared" si="90"/>
        <v>1.2384602986560198</v>
      </c>
      <c r="AA52" s="1">
        <f t="shared" si="91"/>
        <v>1.4487659241057522</v>
      </c>
      <c r="AB52" s="1">
        <f aca="true" t="shared" si="104" ref="AB52:AB62">AB5/3.8467118927</f>
        <v>1.023702659659287</v>
      </c>
      <c r="AC52" s="1">
        <f t="shared" si="92"/>
        <v>1.1734526473705222</v>
      </c>
      <c r="AD52" s="1">
        <f t="shared" si="93"/>
        <v>0.9920818739576877</v>
      </c>
      <c r="AE52" s="1">
        <f t="shared" si="94"/>
        <v>1.011976094238279</v>
      </c>
      <c r="AF52" s="1">
        <f t="shared" si="95"/>
        <v>1.3677057094878253</v>
      </c>
      <c r="AG52" s="1">
        <f t="shared" si="96"/>
        <v>1.4192300019948136</v>
      </c>
      <c r="AH52" s="1">
        <f t="shared" si="97"/>
        <v>1.2503201715811074</v>
      </c>
      <c r="AI52" s="1">
        <f aca="true" t="shared" si="105" ref="AI52:AI62">AI5/46.642256903</f>
        <v>1.0920276036583452</v>
      </c>
      <c r="AJ52" s="1">
        <f aca="true" t="shared" si="106" ref="AJ52:AJ62">AJ5/11.9880459145555</f>
        <v>1.8585547036239072</v>
      </c>
      <c r="AK52" s="1">
        <f aca="true" t="shared" si="107" ref="AK52:AK62">AK5/55.85</f>
        <v>0.976544315129812</v>
      </c>
    </row>
    <row r="53" spans="1:37" ht="12.75">
      <c r="A53" t="s">
        <v>6</v>
      </c>
      <c r="B53" s="1">
        <f t="shared" si="98"/>
        <v>1.0891616125579737</v>
      </c>
      <c r="C53" s="1">
        <f t="shared" si="99"/>
        <v>1.0797384407117618</v>
      </c>
      <c r="D53" s="1">
        <f t="shared" si="72"/>
        <v>1.0001641744977898</v>
      </c>
      <c r="E53" s="1">
        <f t="shared" si="73"/>
        <v>1.0331960652746917</v>
      </c>
      <c r="F53" s="1">
        <f t="shared" si="74"/>
        <v>1.0163563223563863</v>
      </c>
      <c r="G53" s="1">
        <f t="shared" si="75"/>
        <v>0.9996631347318884</v>
      </c>
      <c r="H53" s="1">
        <f t="shared" si="76"/>
        <v>0.8691956356178994</v>
      </c>
      <c r="I53" s="1">
        <f t="shared" si="77"/>
        <v>0.8942046459360335</v>
      </c>
      <c r="J53" s="1">
        <f t="shared" si="100"/>
        <v>0.972090537478633</v>
      </c>
      <c r="K53" s="1">
        <f t="shared" si="101"/>
        <v>1.0931534862915158</v>
      </c>
      <c r="L53" s="1">
        <f t="shared" si="102"/>
        <v>1.0767279311547315</v>
      </c>
      <c r="M53" s="1">
        <f t="shared" si="78"/>
        <v>1.093505342505401</v>
      </c>
      <c r="N53" s="1">
        <f t="shared" si="103"/>
        <v>1.1212151099713976</v>
      </c>
      <c r="O53" s="1">
        <f t="shared" si="79"/>
        <v>1.2074859181480928</v>
      </c>
      <c r="P53" s="1">
        <f t="shared" si="80"/>
        <v>1.1032400083271539</v>
      </c>
      <c r="Q53" s="1">
        <f t="shared" si="81"/>
        <v>0.8536531141757697</v>
      </c>
      <c r="R53" s="1">
        <f t="shared" si="82"/>
        <v>1.1326496760336864</v>
      </c>
      <c r="S53" s="1">
        <f t="shared" si="83"/>
        <v>1.1607488580667116</v>
      </c>
      <c r="T53" s="1">
        <f t="shared" si="84"/>
        <v>0.8929532937097253</v>
      </c>
      <c r="U53" s="1">
        <f t="shared" si="85"/>
        <v>0.7383169116268907</v>
      </c>
      <c r="V53" s="1">
        <f t="shared" si="86"/>
        <v>0.8546038016615304</v>
      </c>
      <c r="W53" s="1">
        <f t="shared" si="87"/>
        <v>1.0854508482005492</v>
      </c>
      <c r="X53" s="1">
        <f t="shared" si="88"/>
        <v>0.6556008265932768</v>
      </c>
      <c r="Y53" s="1">
        <f t="shared" si="89"/>
        <v>1.470010438330297</v>
      </c>
      <c r="Z53" s="1">
        <f t="shared" si="90"/>
        <v>0.8880439389994316</v>
      </c>
      <c r="AA53" s="1">
        <f t="shared" si="91"/>
        <v>0.7920415746744901</v>
      </c>
      <c r="AB53" s="1">
        <f t="shared" si="104"/>
        <v>1.003924042096484</v>
      </c>
      <c r="AC53" s="1">
        <f t="shared" si="92"/>
        <v>0.8766695916427403</v>
      </c>
      <c r="AD53" s="1">
        <f t="shared" si="93"/>
        <v>0.9966196090630793</v>
      </c>
      <c r="AE53" s="1">
        <f t="shared" si="94"/>
        <v>1.0078858073586703</v>
      </c>
      <c r="AF53" s="1">
        <f t="shared" si="95"/>
        <v>0.8357997481108314</v>
      </c>
      <c r="AG53" s="1">
        <f t="shared" si="96"/>
        <v>0.8260722122481549</v>
      </c>
      <c r="AH53" s="1">
        <f t="shared" si="97"/>
        <v>0.8931629866222283</v>
      </c>
      <c r="AI53" s="1">
        <f t="shared" si="105"/>
        <v>0.9695252858806543</v>
      </c>
      <c r="AJ53" s="1">
        <f t="shared" si="106"/>
        <v>0.6839495928217254</v>
      </c>
      <c r="AK53" s="1">
        <f t="shared" si="107"/>
        <v>1.0254252461951656</v>
      </c>
    </row>
    <row r="54" spans="1:37" ht="12.75">
      <c r="A54" t="s">
        <v>7</v>
      </c>
      <c r="B54" s="1">
        <f t="shared" si="98"/>
        <v>0.5134808259587021</v>
      </c>
      <c r="C54" s="1">
        <f t="shared" si="99"/>
        <v>0.48696811734755724</v>
      </c>
      <c r="D54" s="1">
        <f t="shared" si="72"/>
        <v>0.9253822435551032</v>
      </c>
      <c r="E54" s="1">
        <f t="shared" si="73"/>
        <v>0.921972530621778</v>
      </c>
      <c r="F54" s="1">
        <f t="shared" si="74"/>
        <v>0.9857497352917214</v>
      </c>
      <c r="G54" s="1">
        <f t="shared" si="75"/>
        <v>1.2560344827945</v>
      </c>
      <c r="H54" s="1">
        <f t="shared" si="76"/>
        <v>1.5147727272717755</v>
      </c>
      <c r="I54" s="1">
        <f t="shared" si="77"/>
        <v>1.8386397292170409</v>
      </c>
      <c r="J54" s="1">
        <f t="shared" si="100"/>
        <v>0.6855249424907855</v>
      </c>
      <c r="K54" s="1">
        <f t="shared" si="101"/>
        <v>0.22380180928048105</v>
      </c>
      <c r="L54" s="1">
        <f t="shared" si="102"/>
        <v>0.4841304025194951</v>
      </c>
      <c r="M54" s="1">
        <f t="shared" si="78"/>
        <v>1.162983906063216</v>
      </c>
      <c r="N54" s="1">
        <f t="shared" si="103"/>
        <v>0.7597396192918434</v>
      </c>
      <c r="O54" s="1">
        <f t="shared" si="79"/>
        <v>0.4126591360061871</v>
      </c>
      <c r="P54" s="1">
        <f t="shared" si="80"/>
        <v>0.4881345641797117</v>
      </c>
      <c r="Q54" s="1">
        <f t="shared" si="81"/>
        <v>1.9130067855839268</v>
      </c>
      <c r="R54" s="1">
        <f t="shared" si="82"/>
        <v>0.5824781549453901</v>
      </c>
      <c r="S54" s="1">
        <f t="shared" si="83"/>
        <v>0.8456165648249065</v>
      </c>
      <c r="T54" s="1">
        <f t="shared" si="84"/>
        <v>1.9273022761155323</v>
      </c>
      <c r="U54" s="1">
        <f t="shared" si="85"/>
        <v>2.199992469424613</v>
      </c>
      <c r="V54" s="1">
        <f t="shared" si="86"/>
        <v>1.2060636793841706</v>
      </c>
      <c r="W54" s="1">
        <f t="shared" si="87"/>
        <v>0.7683245319841051</v>
      </c>
      <c r="X54" s="1">
        <f t="shared" si="88"/>
        <v>4.536480163415597</v>
      </c>
      <c r="Y54" s="1">
        <f t="shared" si="89"/>
        <v>5.874778491655651</v>
      </c>
      <c r="Z54" s="1">
        <f t="shared" si="90"/>
        <v>1.5950179573490157</v>
      </c>
      <c r="AA54" s="1">
        <f t="shared" si="91"/>
        <v>2.8345770133771326</v>
      </c>
      <c r="AB54" s="1">
        <f t="shared" si="104"/>
        <v>2.128351349378924</v>
      </c>
      <c r="AC54" s="1">
        <f t="shared" si="92"/>
        <v>0.8251271564376091</v>
      </c>
      <c r="AD54" s="1">
        <f t="shared" si="93"/>
        <v>1.0463422284025843</v>
      </c>
      <c r="AE54" s="1">
        <f t="shared" si="94"/>
        <v>0.9181025795174881</v>
      </c>
      <c r="AF54" s="1">
        <f t="shared" si="95"/>
        <v>1.5509550797649037</v>
      </c>
      <c r="AG54" s="1">
        <f t="shared" si="96"/>
        <v>1.4359465389986037</v>
      </c>
      <c r="AH54" s="1">
        <f t="shared" si="97"/>
        <v>1.294511564751809</v>
      </c>
      <c r="AI54" s="1">
        <f t="shared" si="105"/>
        <v>1.178918878225707</v>
      </c>
      <c r="AJ54" s="1">
        <f t="shared" si="106"/>
        <v>0.7389975762715874</v>
      </c>
      <c r="AK54" s="1">
        <f t="shared" si="107"/>
        <v>0.8032229185317815</v>
      </c>
    </row>
    <row r="55" spans="1:37" ht="12.75">
      <c r="A55" t="s">
        <v>8</v>
      </c>
      <c r="B55" s="1">
        <f t="shared" si="98"/>
        <v>0.8778383167220377</v>
      </c>
      <c r="C55" s="1">
        <f t="shared" si="99"/>
        <v>0.7068857233877941</v>
      </c>
      <c r="D55" s="1">
        <f t="shared" si="72"/>
        <v>1.119815565213811</v>
      </c>
      <c r="E55" s="1">
        <f t="shared" si="73"/>
        <v>0.9159437411874698</v>
      </c>
      <c r="F55" s="1">
        <f t="shared" si="74"/>
        <v>1.1578219145599211</v>
      </c>
      <c r="G55" s="1">
        <f t="shared" si="75"/>
        <v>0.3661176284808832</v>
      </c>
      <c r="H55" s="1">
        <f t="shared" si="76"/>
        <v>0.9712143526543652</v>
      </c>
      <c r="I55" s="1">
        <f t="shared" si="77"/>
        <v>2.179244825356468</v>
      </c>
      <c r="J55" s="1">
        <f t="shared" si="100"/>
        <v>0.2702845527971291</v>
      </c>
      <c r="K55" s="1">
        <f t="shared" si="101"/>
        <v>0.0870168775066456</v>
      </c>
      <c r="L55" s="1">
        <f t="shared" si="102"/>
        <v>0.1894097882395097</v>
      </c>
      <c r="M55" s="1">
        <f t="shared" si="78"/>
        <v>0.6795320435134514</v>
      </c>
      <c r="N55" s="1">
        <f t="shared" si="103"/>
        <v>0.311766446395108</v>
      </c>
      <c r="O55" s="1">
        <f t="shared" si="79"/>
        <v>0.48422992968446044</v>
      </c>
      <c r="P55" s="1">
        <f t="shared" si="80"/>
        <v>0.4411857576090967</v>
      </c>
      <c r="Q55" s="1">
        <f t="shared" si="81"/>
        <v>1.2738070538224762</v>
      </c>
      <c r="R55" s="1">
        <f t="shared" si="82"/>
        <v>6.892016556011568</v>
      </c>
      <c r="S55" s="1">
        <f t="shared" si="83"/>
        <v>2.0944152765088107</v>
      </c>
      <c r="T55" s="1">
        <f t="shared" si="84"/>
        <v>1.5773915086787542</v>
      </c>
      <c r="U55" s="1">
        <f t="shared" si="85"/>
        <v>0.48365818863100074</v>
      </c>
      <c r="V55" s="1">
        <f t="shared" si="86"/>
        <v>0.666526410520966</v>
      </c>
      <c r="W55" s="1">
        <f t="shared" si="87"/>
        <v>4.0021704888509975</v>
      </c>
      <c r="X55" s="1">
        <f t="shared" si="88"/>
        <v>1.8017928845346904</v>
      </c>
      <c r="Y55" s="1">
        <f t="shared" si="89"/>
        <v>0</v>
      </c>
      <c r="Z55" s="1">
        <f t="shared" si="90"/>
        <v>1.435472028078349</v>
      </c>
      <c r="AA55" s="1">
        <f t="shared" si="91"/>
        <v>1.9128178873051571</v>
      </c>
      <c r="AB55" s="1">
        <f t="shared" si="104"/>
        <v>3.145290865416935</v>
      </c>
      <c r="AC55" s="1">
        <f t="shared" si="92"/>
        <v>30.272988156258243</v>
      </c>
      <c r="AD55" s="1">
        <f t="shared" si="93"/>
        <v>1.0258091022784783</v>
      </c>
      <c r="AE55" s="1">
        <f t="shared" si="94"/>
        <v>0.5417651542208564</v>
      </c>
      <c r="AF55" s="1">
        <f t="shared" si="95"/>
        <v>1.4529806884970615</v>
      </c>
      <c r="AG55" s="1">
        <f t="shared" si="96"/>
        <v>1.448952722920407</v>
      </c>
      <c r="AH55" s="1">
        <f t="shared" si="97"/>
        <v>1.31901433442886</v>
      </c>
      <c r="AI55" s="1">
        <f t="shared" si="105"/>
        <v>1.0989909550175094</v>
      </c>
      <c r="AJ55" s="1">
        <f t="shared" si="106"/>
        <v>0.3897313626993518</v>
      </c>
      <c r="AK55" s="1">
        <f t="shared" si="107"/>
        <v>0.7122649955237242</v>
      </c>
    </row>
    <row r="56" spans="1:37" ht="12.75">
      <c r="A56" t="s">
        <v>9</v>
      </c>
      <c r="B56" s="1">
        <f t="shared" si="98"/>
        <v>0.7680301886792454</v>
      </c>
      <c r="C56" s="1">
        <f t="shared" si="99"/>
        <v>0.7475420005169294</v>
      </c>
      <c r="D56" s="1">
        <f t="shared" si="72"/>
        <v>1.0183815414006088</v>
      </c>
      <c r="E56" s="1">
        <f t="shared" si="73"/>
        <v>0.8182235814086894</v>
      </c>
      <c r="F56" s="1">
        <f t="shared" si="74"/>
        <v>1.0478686436639941</v>
      </c>
      <c r="G56" s="1">
        <f t="shared" si="75"/>
        <v>0.7478574802559392</v>
      </c>
      <c r="H56" s="1">
        <f t="shared" si="76"/>
        <v>1.0242203980020965</v>
      </c>
      <c r="I56" s="1">
        <f t="shared" si="77"/>
        <v>1.9338750780647667</v>
      </c>
      <c r="J56" s="1">
        <f t="shared" si="100"/>
        <v>0.3951313865815731</v>
      </c>
      <c r="K56" s="1">
        <f t="shared" si="101"/>
        <v>0.28087846968697144</v>
      </c>
      <c r="L56" s="1">
        <f t="shared" si="102"/>
        <v>0.3392666549669234</v>
      </c>
      <c r="M56" s="1">
        <f t="shared" si="78"/>
        <v>0.708777708633007</v>
      </c>
      <c r="N56" s="1">
        <f t="shared" si="103"/>
        <v>0.4060558240457639</v>
      </c>
      <c r="O56" s="1">
        <f t="shared" si="79"/>
        <v>0.7233623662723084</v>
      </c>
      <c r="P56" s="1">
        <f t="shared" si="80"/>
        <v>0.5407064202948927</v>
      </c>
      <c r="Q56" s="1">
        <f t="shared" si="81"/>
        <v>1.468002919392589</v>
      </c>
      <c r="R56" s="1">
        <f t="shared" si="82"/>
        <v>4.116228881164898</v>
      </c>
      <c r="S56" s="1">
        <f t="shared" si="83"/>
        <v>1.9498699539044289</v>
      </c>
      <c r="T56" s="1">
        <f t="shared" si="84"/>
        <v>1.5285424070482896</v>
      </c>
      <c r="U56" s="1">
        <f t="shared" si="85"/>
        <v>0.10191536814206045</v>
      </c>
      <c r="V56" s="1">
        <f t="shared" si="86"/>
        <v>1.6723180400128792</v>
      </c>
      <c r="W56" s="1">
        <f t="shared" si="87"/>
        <v>4.293373580125856</v>
      </c>
      <c r="X56" s="1">
        <f t="shared" si="88"/>
        <v>1.5745541704112316</v>
      </c>
      <c r="Y56" s="1">
        <f t="shared" si="89"/>
        <v>1.1726993156512804</v>
      </c>
      <c r="Z56" s="1">
        <f t="shared" si="90"/>
        <v>1.1911507806101194</v>
      </c>
      <c r="AA56" s="1">
        <f t="shared" si="91"/>
        <v>1.2237680568359395</v>
      </c>
      <c r="AB56" s="1">
        <f t="shared" si="104"/>
        <v>2.777593848210061</v>
      </c>
      <c r="AC56" s="1">
        <f t="shared" si="92"/>
        <v>13.126616219518661</v>
      </c>
      <c r="AD56" s="1">
        <f t="shared" si="93"/>
        <v>0.9751441842745261</v>
      </c>
      <c r="AE56" s="1">
        <f t="shared" si="94"/>
        <v>0.8748769468005788</v>
      </c>
      <c r="AF56" s="1">
        <f t="shared" si="95"/>
        <v>1.3680555555555556</v>
      </c>
      <c r="AG56" s="1">
        <f t="shared" si="96"/>
        <v>1.286694594055456</v>
      </c>
      <c r="AH56" s="1">
        <f t="shared" si="97"/>
        <v>1.1991852983381937</v>
      </c>
      <c r="AI56" s="1">
        <f t="shared" si="105"/>
        <v>1.207025731453808</v>
      </c>
      <c r="AJ56" s="1">
        <f t="shared" si="106"/>
        <v>0.7379231270318941</v>
      </c>
      <c r="AK56" s="1">
        <f t="shared" si="107"/>
        <v>0.8376007162041181</v>
      </c>
    </row>
    <row r="57" spans="1:37" ht="12.75">
      <c r="A57" t="s">
        <v>10</v>
      </c>
      <c r="B57" s="1">
        <f t="shared" si="98"/>
        <v>0.702755388940956</v>
      </c>
      <c r="C57" s="1">
        <f t="shared" si="99"/>
        <v>0.7220089612407081</v>
      </c>
      <c r="D57" s="1">
        <f t="shared" si="72"/>
        <v>1.0260465541487072</v>
      </c>
      <c r="E57" s="1">
        <f t="shared" si="73"/>
        <v>0.89007241835652</v>
      </c>
      <c r="F57" s="1">
        <f t="shared" si="74"/>
        <v>1.0732076524342278</v>
      </c>
      <c r="G57" s="1">
        <f t="shared" si="75"/>
        <v>0.5047173749837526</v>
      </c>
      <c r="H57" s="1">
        <f t="shared" si="76"/>
        <v>0.9250966950558694</v>
      </c>
      <c r="I57" s="1">
        <f t="shared" si="77"/>
        <v>1.639469955168125</v>
      </c>
      <c r="J57" s="1">
        <f t="shared" si="100"/>
        <v>0.39332085085241253</v>
      </c>
      <c r="K57" s="1">
        <f t="shared" si="101"/>
        <v>0.18684725614722542</v>
      </c>
      <c r="L57" s="1">
        <f t="shared" si="102"/>
        <v>0.25924695840340733</v>
      </c>
      <c r="M57" s="1">
        <f t="shared" si="78"/>
        <v>0.9207709882696964</v>
      </c>
      <c r="N57" s="1">
        <f t="shared" si="103"/>
        <v>0.43741986389190257</v>
      </c>
      <c r="O57" s="1">
        <f t="shared" si="79"/>
        <v>0.4744766856769399</v>
      </c>
      <c r="P57" s="1">
        <f t="shared" si="80"/>
        <v>0.3197785086857732</v>
      </c>
      <c r="Q57" s="1">
        <f t="shared" si="81"/>
        <v>1.7191703927296988</v>
      </c>
      <c r="R57" s="1">
        <f t="shared" si="82"/>
        <v>1.0860084798549794</v>
      </c>
      <c r="S57" s="1">
        <f t="shared" si="83"/>
        <v>0.8306518716057133</v>
      </c>
      <c r="T57" s="1">
        <f t="shared" si="84"/>
        <v>1.9005609887789225</v>
      </c>
      <c r="U57" s="1">
        <f t="shared" si="85"/>
        <v>0.5467840327096244</v>
      </c>
      <c r="V57" s="1">
        <f t="shared" si="86"/>
        <v>4.423859667394811</v>
      </c>
      <c r="W57" s="1">
        <f t="shared" si="87"/>
        <v>0.4985238245621849</v>
      </c>
      <c r="X57" s="1">
        <f t="shared" si="88"/>
        <v>2.18159440320696</v>
      </c>
      <c r="Y57" s="1">
        <f t="shared" si="89"/>
        <v>9.432740664881349</v>
      </c>
      <c r="Z57" s="1">
        <f t="shared" si="90"/>
        <v>1.4553279339698582</v>
      </c>
      <c r="AA57" s="1">
        <f t="shared" si="91"/>
        <v>1.5811700362397065</v>
      </c>
      <c r="AB57" s="1">
        <f t="shared" si="104"/>
        <v>4.137646572961396</v>
      </c>
      <c r="AC57" s="1">
        <f t="shared" si="92"/>
        <v>25.126342263021417</v>
      </c>
      <c r="AD57" s="1">
        <f t="shared" si="93"/>
        <v>1.0973195287089768</v>
      </c>
      <c r="AE57" s="1">
        <f t="shared" si="94"/>
        <v>0.48390384480841725</v>
      </c>
      <c r="AF57" s="1">
        <f t="shared" si="95"/>
        <v>1.4893471872376156</v>
      </c>
      <c r="AG57" s="1">
        <f t="shared" si="96"/>
        <v>1.4313784161180931</v>
      </c>
      <c r="AH57" s="1">
        <f t="shared" si="97"/>
        <v>1.3069172491474947</v>
      </c>
      <c r="AI57" s="1">
        <f t="shared" si="105"/>
        <v>1.1945806188983161</v>
      </c>
      <c r="AJ57" s="1">
        <f t="shared" si="106"/>
        <v>0.3816158121490348</v>
      </c>
      <c r="AK57" s="1">
        <f t="shared" si="107"/>
        <v>0.7081468218442255</v>
      </c>
    </row>
    <row r="58" spans="1:37" ht="12.75">
      <c r="A58" t="s">
        <v>11</v>
      </c>
      <c r="B58" s="1">
        <f t="shared" si="98"/>
        <v>0.6400518321215176</v>
      </c>
      <c r="C58" s="1">
        <f t="shared" si="99"/>
        <v>0.5096963343763529</v>
      </c>
      <c r="D58" s="1">
        <f t="shared" si="72"/>
        <v>1.1673302093634204</v>
      </c>
      <c r="E58" s="1">
        <f t="shared" si="73"/>
        <v>0.7215151301057537</v>
      </c>
      <c r="F58" s="1">
        <f t="shared" si="74"/>
        <v>1.0980972673229583</v>
      </c>
      <c r="G58" s="1">
        <f t="shared" si="75"/>
        <v>0.22600500622733904</v>
      </c>
      <c r="H58" s="1">
        <f t="shared" si="76"/>
        <v>0.885442799964924</v>
      </c>
      <c r="I58" s="1">
        <f t="shared" si="77"/>
        <v>2.594223934070245</v>
      </c>
      <c r="J58" s="1">
        <f t="shared" si="100"/>
        <v>0.2283516513447557</v>
      </c>
      <c r="K58" s="1">
        <f t="shared" si="101"/>
        <v>0.10393851458196289</v>
      </c>
      <c r="L58" s="1">
        <f t="shared" si="102"/>
        <v>0.24902650906582274</v>
      </c>
      <c r="M58" s="1">
        <f t="shared" si="78"/>
        <v>0.29502282485206976</v>
      </c>
      <c r="N58" s="1">
        <f t="shared" si="103"/>
        <v>0.19301706282670875</v>
      </c>
      <c r="O58" s="1">
        <f t="shared" si="79"/>
        <v>0.24270641027102843</v>
      </c>
      <c r="P58" s="1">
        <f t="shared" si="80"/>
        <v>0.5137786626561689</v>
      </c>
      <c r="Q58" s="1">
        <f t="shared" si="81"/>
        <v>1.158352737827827</v>
      </c>
      <c r="R58" s="1">
        <f t="shared" si="82"/>
        <v>11.266079905431301</v>
      </c>
      <c r="S58" s="1">
        <f t="shared" si="83"/>
        <v>3.7679617293690884</v>
      </c>
      <c r="T58" s="1">
        <f t="shared" si="84"/>
        <v>3.001254318018415</v>
      </c>
      <c r="U58" s="1">
        <f t="shared" si="85"/>
        <v>0</v>
      </c>
      <c r="V58" s="1">
        <f t="shared" si="86"/>
        <v>0.6669797273662857</v>
      </c>
      <c r="W58" s="1">
        <f t="shared" si="87"/>
        <v>0</v>
      </c>
      <c r="X58" s="1">
        <f t="shared" si="88"/>
        <v>3.2135706577530065</v>
      </c>
      <c r="Y58" s="1">
        <f t="shared" si="89"/>
        <v>0</v>
      </c>
      <c r="Z58" s="1">
        <f t="shared" si="90"/>
        <v>1.4253437088425187</v>
      </c>
      <c r="AA58" s="1">
        <f t="shared" si="91"/>
        <v>1.3455487074280323</v>
      </c>
      <c r="AB58" s="1">
        <f t="shared" si="104"/>
        <v>4.380851142499186</v>
      </c>
      <c r="AC58" s="1">
        <f t="shared" si="92"/>
        <v>0.6067847301289668</v>
      </c>
      <c r="AD58" s="1">
        <f t="shared" si="93"/>
        <v>1.250663717733</v>
      </c>
      <c r="AE58" s="1">
        <f t="shared" si="94"/>
        <v>0.5492549098707964</v>
      </c>
      <c r="AF58" s="1">
        <f t="shared" si="95"/>
        <v>1.5188392107472712</v>
      </c>
      <c r="AG58" s="1">
        <f t="shared" si="96"/>
        <v>1.4920606423299423</v>
      </c>
      <c r="AH58" s="1">
        <f t="shared" si="97"/>
        <v>1.3403539631841257</v>
      </c>
      <c r="AI58" s="1">
        <f t="shared" si="105"/>
        <v>1.1600464435827902</v>
      </c>
      <c r="AJ58" s="1">
        <f t="shared" si="106"/>
        <v>0.8074505150802325</v>
      </c>
      <c r="AK58" s="1">
        <f t="shared" si="107"/>
        <v>0.7754700089525515</v>
      </c>
    </row>
    <row r="59" spans="1:37" ht="12.75">
      <c r="A59" t="s">
        <v>12</v>
      </c>
      <c r="B59" s="1">
        <f t="shared" si="98"/>
        <v>0.8177099236641223</v>
      </c>
      <c r="C59" s="1">
        <f t="shared" si="99"/>
        <v>0.7280978772351773</v>
      </c>
      <c r="D59" s="1">
        <f t="shared" si="72"/>
        <v>0.9344211584564222</v>
      </c>
      <c r="E59" s="1">
        <f t="shared" si="73"/>
        <v>0.9026597118215172</v>
      </c>
      <c r="F59" s="1">
        <f t="shared" si="74"/>
        <v>0.9117456197250885</v>
      </c>
      <c r="G59" s="1">
        <f t="shared" si="75"/>
        <v>0.4550508121358383</v>
      </c>
      <c r="H59" s="1">
        <f t="shared" si="76"/>
        <v>0.7118976741169654</v>
      </c>
      <c r="I59" s="1">
        <f t="shared" si="77"/>
        <v>1.71291621740047</v>
      </c>
      <c r="J59" s="1">
        <f t="shared" si="100"/>
        <v>0.36048263183136536</v>
      </c>
      <c r="K59" s="1">
        <f t="shared" si="101"/>
        <v>0.07660543523633563</v>
      </c>
      <c r="L59" s="1">
        <f t="shared" si="102"/>
        <v>0.16077601276725342</v>
      </c>
      <c r="M59" s="1">
        <f t="shared" si="78"/>
        <v>0.8990742254494021</v>
      </c>
      <c r="N59" s="1">
        <f t="shared" si="103"/>
        <v>0.45477857776901076</v>
      </c>
      <c r="O59" s="1">
        <f t="shared" si="79"/>
        <v>0.4267810458993118</v>
      </c>
      <c r="P59" s="1">
        <f t="shared" si="80"/>
        <v>0.1930273663584326</v>
      </c>
      <c r="Q59" s="1">
        <f t="shared" si="81"/>
        <v>1.5199068142011256</v>
      </c>
      <c r="R59" s="1">
        <f t="shared" si="82"/>
        <v>1.322167515780602</v>
      </c>
      <c r="S59" s="1">
        <f t="shared" si="83"/>
        <v>1.0242216589352495</v>
      </c>
      <c r="T59" s="1">
        <f t="shared" si="84"/>
        <v>1.6278353966477934</v>
      </c>
      <c r="U59" s="1">
        <f t="shared" si="85"/>
        <v>0.5379023668790548</v>
      </c>
      <c r="V59" s="1">
        <f t="shared" si="86"/>
        <v>4.920429239855609</v>
      </c>
      <c r="W59" s="1">
        <f t="shared" si="87"/>
        <v>0.3812527080065407</v>
      </c>
      <c r="X59" s="1">
        <f t="shared" si="88"/>
        <v>2.0160288157526773</v>
      </c>
      <c r="Y59" s="1">
        <f t="shared" si="89"/>
        <v>1.3535158160701477</v>
      </c>
      <c r="Z59" s="1">
        <f t="shared" si="90"/>
        <v>1.2973011234513048</v>
      </c>
      <c r="AA59" s="1">
        <f t="shared" si="91"/>
        <v>1.329073905604836</v>
      </c>
      <c r="AB59" s="1">
        <f t="shared" si="104"/>
        <v>2.7605897291534376</v>
      </c>
      <c r="AC59" s="1">
        <f t="shared" si="92"/>
        <v>15.485648680543411</v>
      </c>
      <c r="AD59" s="1">
        <f t="shared" si="93"/>
        <v>1.1977013802896472</v>
      </c>
      <c r="AE59" s="1">
        <f t="shared" si="94"/>
        <v>0.43662630651197143</v>
      </c>
      <c r="AF59" s="1">
        <f t="shared" si="95"/>
        <v>1.5726455359641758</v>
      </c>
      <c r="AG59" s="1">
        <f t="shared" si="96"/>
        <v>1.6646519050468782</v>
      </c>
      <c r="AH59" s="1">
        <f t="shared" si="97"/>
        <v>1.4132142140752055</v>
      </c>
      <c r="AI59" s="1">
        <f t="shared" si="105"/>
        <v>1.1194564171195076</v>
      </c>
      <c r="AJ59" s="1">
        <f t="shared" si="106"/>
        <v>0.24610437597874388</v>
      </c>
      <c r="AK59" s="1">
        <f t="shared" si="107"/>
        <v>0.4675022381378693</v>
      </c>
    </row>
    <row r="60" spans="1:37" ht="12.75">
      <c r="A60" t="s">
        <v>13</v>
      </c>
      <c r="B60" s="1">
        <f t="shared" si="98"/>
        <v>0.48659312134977295</v>
      </c>
      <c r="C60" s="1">
        <f t="shared" si="99"/>
        <v>0.4642155511898518</v>
      </c>
      <c r="D60" s="1">
        <f t="shared" si="72"/>
        <v>1.06562113656253</v>
      </c>
      <c r="E60" s="1">
        <f t="shared" si="73"/>
        <v>0.8685696262419195</v>
      </c>
      <c r="F60" s="1">
        <f t="shared" si="74"/>
        <v>0.9275450624723589</v>
      </c>
      <c r="G60" s="1">
        <f t="shared" si="75"/>
        <v>0.5955665024755473</v>
      </c>
      <c r="H60" s="1">
        <f t="shared" si="76"/>
        <v>0.9673121521190688</v>
      </c>
      <c r="I60" s="1">
        <f t="shared" si="77"/>
        <v>2.4011227441973286</v>
      </c>
      <c r="J60" s="1">
        <f t="shared" si="100"/>
        <v>0.3284459958720737</v>
      </c>
      <c r="K60" s="1">
        <f t="shared" si="101"/>
        <v>0.15916677312925942</v>
      </c>
      <c r="L60" s="1">
        <f t="shared" si="102"/>
        <v>0.1705217572732314</v>
      </c>
      <c r="M60" s="1">
        <f t="shared" si="78"/>
        <v>0.4522304897927404</v>
      </c>
      <c r="N60" s="1">
        <f t="shared" si="103"/>
        <v>0.28553111746720583</v>
      </c>
      <c r="O60" s="1">
        <f t="shared" si="79"/>
        <v>0.3954677011616419</v>
      </c>
      <c r="P60" s="1">
        <f t="shared" si="80"/>
        <v>0.4165090906466189</v>
      </c>
      <c r="Q60" s="1">
        <f t="shared" si="81"/>
        <v>1.7510585635013443</v>
      </c>
      <c r="R60" s="1">
        <f t="shared" si="82"/>
        <v>3.9988162887575815</v>
      </c>
      <c r="S60" s="1">
        <f t="shared" si="83"/>
        <v>1.6079573331832564</v>
      </c>
      <c r="T60" s="1">
        <f t="shared" si="84"/>
        <v>2.7449668630365722</v>
      </c>
      <c r="U60" s="1">
        <f t="shared" si="85"/>
        <v>0.12236391925018204</v>
      </c>
      <c r="V60" s="1">
        <f t="shared" si="86"/>
        <v>1.6866519696459683</v>
      </c>
      <c r="W60" s="1">
        <f t="shared" si="87"/>
        <v>0.38553367465127547</v>
      </c>
      <c r="X60" s="1">
        <f t="shared" si="88"/>
        <v>1.5149880239518148</v>
      </c>
      <c r="Y60" s="1">
        <f t="shared" si="89"/>
        <v>4.4479468739691574</v>
      </c>
      <c r="Z60" s="1">
        <f t="shared" si="90"/>
        <v>1.5596182944106394</v>
      </c>
      <c r="AA60" s="1">
        <f t="shared" si="91"/>
        <v>1.440212333019662</v>
      </c>
      <c r="AB60" s="1">
        <f t="shared" si="104"/>
        <v>5.079431271699824</v>
      </c>
      <c r="AC60" s="1">
        <f t="shared" si="92"/>
        <v>0.6084759744824902</v>
      </c>
      <c r="AD60" s="1">
        <f t="shared" si="93"/>
        <v>1.2100880797554125</v>
      </c>
      <c r="AE60" s="1">
        <f t="shared" si="94"/>
        <v>0.6230887499844804</v>
      </c>
      <c r="AF60" s="1">
        <f t="shared" si="95"/>
        <v>1.4685313462076688</v>
      </c>
      <c r="AG60" s="1">
        <f t="shared" si="96"/>
        <v>1.44360662278077</v>
      </c>
      <c r="AH60" s="1">
        <f t="shared" si="97"/>
        <v>1.3170701600086407</v>
      </c>
      <c r="AI60" s="1">
        <f t="shared" si="105"/>
        <v>1.142959442354324</v>
      </c>
      <c r="AJ60" s="1">
        <f t="shared" si="106"/>
        <v>1.0029832726291614</v>
      </c>
      <c r="AK60" s="1">
        <f t="shared" si="107"/>
        <v>0.5788719785138764</v>
      </c>
    </row>
    <row r="61" spans="1:37" ht="12.75">
      <c r="A61" t="s">
        <v>14</v>
      </c>
      <c r="B61" s="1">
        <f t="shared" si="98"/>
        <v>0.7707541165075412</v>
      </c>
      <c r="C61" s="1">
        <f t="shared" si="99"/>
        <v>0.6395878469438236</v>
      </c>
      <c r="D61" s="1">
        <f t="shared" si="72"/>
        <v>0.8692167108322489</v>
      </c>
      <c r="E61" s="1">
        <f t="shared" si="73"/>
        <v>0.9479897864755836</v>
      </c>
      <c r="F61" s="1">
        <f t="shared" si="74"/>
        <v>0.8277501386985112</v>
      </c>
      <c r="G61" s="1">
        <f t="shared" si="75"/>
        <v>0.5410337369314803</v>
      </c>
      <c r="H61" s="1">
        <f t="shared" si="76"/>
        <v>0.9452476146807879</v>
      </c>
      <c r="I61" s="1">
        <f t="shared" si="77"/>
        <v>1.60157273719162</v>
      </c>
      <c r="J61" s="1">
        <f t="shared" si="100"/>
        <v>0.3917465016901658</v>
      </c>
      <c r="K61" s="1">
        <f t="shared" si="101"/>
        <v>0.10683028205219335</v>
      </c>
      <c r="L61" s="1">
        <f t="shared" si="102"/>
        <v>0.2677741937758046</v>
      </c>
      <c r="M61" s="1">
        <f t="shared" si="78"/>
        <v>0.7771912129633933</v>
      </c>
      <c r="N61" s="1">
        <f t="shared" si="103"/>
        <v>0.37222605779662693</v>
      </c>
      <c r="O61" s="1">
        <f t="shared" si="79"/>
        <v>0.33968729518586094</v>
      </c>
      <c r="P61" s="1">
        <f t="shared" si="80"/>
        <v>0.34673631231485713</v>
      </c>
      <c r="Q61" s="1">
        <f t="shared" si="81"/>
        <v>1.4548605025656225</v>
      </c>
      <c r="R61" s="1">
        <f t="shared" si="82"/>
        <v>2.7381883702768692</v>
      </c>
      <c r="S61" s="1">
        <f t="shared" si="83"/>
        <v>1.2472718602005821</v>
      </c>
      <c r="T61" s="1">
        <f t="shared" si="84"/>
        <v>1.5793618167547145</v>
      </c>
      <c r="U61" s="1">
        <f t="shared" si="85"/>
        <v>0.9671690033912901</v>
      </c>
      <c r="V61" s="1">
        <f t="shared" si="86"/>
        <v>1.1292460017970338</v>
      </c>
      <c r="W61" s="1">
        <f t="shared" si="87"/>
        <v>2.1687394034296026</v>
      </c>
      <c r="X61" s="1">
        <f t="shared" si="88"/>
        <v>1.8801597355282653</v>
      </c>
      <c r="Y61" s="1">
        <f t="shared" si="89"/>
        <v>1.3746528033436738</v>
      </c>
      <c r="Z61" s="1">
        <f t="shared" si="90"/>
        <v>1.258196626924227</v>
      </c>
      <c r="AA61" s="1">
        <f t="shared" si="91"/>
        <v>1.1179567727720556</v>
      </c>
      <c r="AB61" s="1">
        <f t="shared" si="104"/>
        <v>2.0409942565491472</v>
      </c>
      <c r="AC61" s="1">
        <f t="shared" si="92"/>
        <v>1.737695421462619</v>
      </c>
      <c r="AD61" s="1">
        <f t="shared" si="93"/>
        <v>1.2903966891891363</v>
      </c>
      <c r="AE61" s="1">
        <f t="shared" si="94"/>
        <v>0.4610430144243914</v>
      </c>
      <c r="AF61" s="1">
        <f t="shared" si="95"/>
        <v>1.5048978449482229</v>
      </c>
      <c r="AG61" s="1">
        <f t="shared" si="96"/>
        <v>1.4020546578894875</v>
      </c>
      <c r="AH61" s="1">
        <f t="shared" si="97"/>
        <v>1.257448811121912</v>
      </c>
      <c r="AI61" s="1">
        <f t="shared" si="105"/>
        <v>1.1611183652761161</v>
      </c>
      <c r="AJ61" s="1">
        <f t="shared" si="106"/>
        <v>0.48738757283808637</v>
      </c>
      <c r="AK61" s="1">
        <f t="shared" si="107"/>
        <v>0.6377797672336615</v>
      </c>
    </row>
    <row r="62" spans="1:37" ht="12.75">
      <c r="A62" t="s">
        <v>15</v>
      </c>
      <c r="B62" s="1">
        <f t="shared" si="98"/>
        <v>0.7722937249666223</v>
      </c>
      <c r="C62" s="1">
        <f t="shared" si="99"/>
        <v>0.6465168169431388</v>
      </c>
      <c r="D62" s="1">
        <f t="shared" si="72"/>
        <v>0.9574202133021508</v>
      </c>
      <c r="E62" s="1">
        <f t="shared" si="73"/>
        <v>0.8005547103254227</v>
      </c>
      <c r="F62" s="1">
        <f t="shared" si="74"/>
        <v>1.024238323011472</v>
      </c>
      <c r="G62" s="1">
        <f t="shared" si="75"/>
        <v>0.19638464751980866</v>
      </c>
      <c r="H62" s="1">
        <f t="shared" si="76"/>
        <v>0.7255422908160221</v>
      </c>
      <c r="I62" s="1">
        <f t="shared" si="77"/>
        <v>1.8401623045895574</v>
      </c>
      <c r="J62" s="1">
        <f t="shared" si="100"/>
        <v>0.31378392684349965</v>
      </c>
      <c r="K62" s="1">
        <f t="shared" si="101"/>
        <v>0.09358336709501319</v>
      </c>
      <c r="L62" s="1">
        <f t="shared" si="102"/>
        <v>0.06500011412028535</v>
      </c>
      <c r="M62" s="1">
        <f t="shared" si="78"/>
        <v>0.6479326856388383</v>
      </c>
      <c r="N62" s="1">
        <f t="shared" si="103"/>
        <v>0.2778380510898511</v>
      </c>
      <c r="O62" s="1">
        <f t="shared" si="79"/>
        <v>0.30117644779644437</v>
      </c>
      <c r="P62" s="1">
        <f t="shared" si="80"/>
        <v>0.252106905658893</v>
      </c>
      <c r="Q62" s="1">
        <f t="shared" si="81"/>
        <v>1.3999221460511149</v>
      </c>
      <c r="R62" s="1">
        <f t="shared" si="82"/>
        <v>2.7501429099201107</v>
      </c>
      <c r="S62" s="1">
        <f t="shared" si="83"/>
        <v>1.6346830711143603</v>
      </c>
      <c r="T62" s="1">
        <f t="shared" si="84"/>
        <v>1.306377202562253</v>
      </c>
      <c r="U62" s="1">
        <f t="shared" si="85"/>
        <v>0.9804875151364261</v>
      </c>
      <c r="V62" s="1">
        <f t="shared" si="86"/>
        <v>0.5759408920618535</v>
      </c>
      <c r="W62" s="1">
        <f t="shared" si="87"/>
        <v>3.4843114178816155</v>
      </c>
      <c r="X62" s="1">
        <f t="shared" si="88"/>
        <v>1.2420046420194348</v>
      </c>
      <c r="Y62" s="1">
        <f t="shared" si="89"/>
        <v>0.7649320631422251</v>
      </c>
      <c r="Z62" s="1">
        <f t="shared" si="90"/>
        <v>1.2014561474578025</v>
      </c>
      <c r="AA62" s="1">
        <f t="shared" si="91"/>
        <v>0.7730836923972815</v>
      </c>
      <c r="AB62" s="1">
        <f t="shared" si="104"/>
        <v>1.9943651347424445</v>
      </c>
      <c r="AC62" s="1">
        <f t="shared" si="92"/>
        <v>0.9532076224574738</v>
      </c>
      <c r="AD62" s="1">
        <f t="shared" si="93"/>
        <v>1.3519633518787</v>
      </c>
      <c r="AE62" s="1">
        <f t="shared" si="94"/>
        <v>0.3599978694578381</v>
      </c>
      <c r="AF62" s="1">
        <f t="shared" si="95"/>
        <v>1.5096207668625805</v>
      </c>
      <c r="AG62" s="1">
        <f t="shared" si="96"/>
        <v>1.5521444244963096</v>
      </c>
      <c r="AH62" s="1">
        <f t="shared" si="97"/>
        <v>1.3784196639355644</v>
      </c>
      <c r="AI62" s="1">
        <f t="shared" si="105"/>
        <v>1.0878950273681185</v>
      </c>
      <c r="AJ62" s="1">
        <f t="shared" si="106"/>
        <v>0.2949165917187923</v>
      </c>
      <c r="AK62" s="1">
        <f t="shared" si="107"/>
        <v>0.5600716204118174</v>
      </c>
    </row>
    <row r="64" spans="2:38" ht="12.75">
      <c r="B64" s="17" t="s">
        <v>19</v>
      </c>
      <c r="C64" s="17"/>
      <c r="D64" s="17"/>
      <c r="E64" s="17"/>
      <c r="F64" s="17"/>
      <c r="G64" s="17" t="s">
        <v>19</v>
      </c>
      <c r="H64" s="17"/>
      <c r="I64" s="17"/>
      <c r="J64" s="17" t="s">
        <v>19</v>
      </c>
      <c r="K64" s="17"/>
      <c r="L64" s="17"/>
      <c r="M64" s="17"/>
      <c r="N64" s="17"/>
      <c r="O64" s="17" t="s">
        <v>19</v>
      </c>
      <c r="P64" s="17"/>
      <c r="Q64" s="17"/>
      <c r="R64" s="17"/>
      <c r="S64" s="17"/>
      <c r="T64" s="17"/>
      <c r="U64" s="17"/>
      <c r="V64" s="17"/>
      <c r="W64" s="17" t="s">
        <v>19</v>
      </c>
      <c r="X64" s="17"/>
      <c r="Y64" s="17"/>
      <c r="Z64" s="17"/>
      <c r="AA64" s="17"/>
      <c r="AB64" s="17"/>
      <c r="AC64" s="17" t="s">
        <v>19</v>
      </c>
      <c r="AD64" s="17"/>
      <c r="AE64" s="17"/>
      <c r="AF64" s="17"/>
      <c r="AG64" s="17"/>
      <c r="AH64" s="17" t="s">
        <v>19</v>
      </c>
      <c r="AI64" s="17"/>
      <c r="AJ64" s="17"/>
      <c r="AK64" s="17"/>
      <c r="AL64" s="17"/>
    </row>
    <row r="65" spans="1:37" ht="12.75">
      <c r="A65" t="s">
        <v>4</v>
      </c>
      <c r="B65" s="20" t="s">
        <v>16</v>
      </c>
      <c r="C65" s="20"/>
      <c r="D65" s="1">
        <f aca="true" t="shared" si="108" ref="D65:D76">D4/5.73</f>
        <v>0.475963826749167</v>
      </c>
      <c r="E65" s="1">
        <f aca="true" t="shared" si="109" ref="E65:E76">E4/13.25</f>
        <v>2.1269296740994856</v>
      </c>
      <c r="F65" s="1">
        <f aca="true" t="shared" si="110" ref="F65:F76">F4/6.901920083</f>
        <v>0.3951469583105574</v>
      </c>
      <c r="G65" s="1">
        <f aca="true" t="shared" si="111" ref="G65:G76">G4/32.526775089</f>
        <v>2.927990708498117</v>
      </c>
      <c r="H65" s="1">
        <f aca="true" t="shared" si="112" ref="H65:H76">H4/338.35779453</f>
        <v>0.8444146708867012</v>
      </c>
      <c r="J65" s="22" t="s">
        <v>16</v>
      </c>
      <c r="K65" s="22"/>
      <c r="L65" s="22"/>
      <c r="M65" s="1">
        <f aca="true" t="shared" si="113" ref="M65:M76">M4/4.9210660589</f>
        <v>18.137304455399047</v>
      </c>
      <c r="N65" s="7" t="s">
        <v>28</v>
      </c>
      <c r="O65" s="1">
        <f aca="true" t="shared" si="114" ref="O65:O76">O4/14.611502943</f>
        <v>4.363349949263327</v>
      </c>
      <c r="P65" s="1">
        <f aca="true" t="shared" si="115" ref="P65:P76">P4/65.54</f>
        <v>2.230680964449191</v>
      </c>
      <c r="Q65" s="1">
        <f aca="true" t="shared" si="116" ref="Q65:Q76">Q4/2167.2375272</f>
        <v>0.7288948397552462</v>
      </c>
      <c r="R65" s="1">
        <f aca="true" t="shared" si="117" ref="R65:R76">R4/1349.1889117</f>
        <v>0.11552605084309928</v>
      </c>
      <c r="S65" s="1">
        <f aca="true" t="shared" si="118" ref="S65:S76">S4/470.14529302</f>
        <v>0.24234565150725246</v>
      </c>
      <c r="T65" s="1">
        <f aca="true" t="shared" si="119" ref="T65:T76">T4/3888.330283</f>
        <v>0.2947385510203584</v>
      </c>
      <c r="U65" s="7">
        <v>0</v>
      </c>
      <c r="V65" s="1">
        <f aca="true" t="shared" si="120" ref="V65:V76">V4/94.783868318</f>
        <v>3.1205688142802854</v>
      </c>
      <c r="W65" s="7">
        <v>0</v>
      </c>
      <c r="X65" s="1">
        <f aca="true" t="shared" si="121" ref="X65:X76">X4/3.4575805597</f>
        <v>0.8507187194375062</v>
      </c>
      <c r="Y65" s="7">
        <v>0</v>
      </c>
      <c r="Z65" s="1">
        <f aca="true" t="shared" si="122" ref="Z65:Z76">Z4/427.94000263</f>
        <v>0.8110862922298525</v>
      </c>
      <c r="AA65" s="1">
        <f aca="true" t="shared" si="123" ref="AA65:AA76">AA4/35.012414271</f>
        <v>1.072629889253489</v>
      </c>
      <c r="AB65" s="7" t="s">
        <v>16</v>
      </c>
      <c r="AC65" s="1">
        <f aca="true" t="shared" si="124" ref="AC65:AC76">AC4/0.3007702653</f>
        <v>6.0450849966384625</v>
      </c>
      <c r="AD65" s="1">
        <f aca="true" t="shared" si="125" ref="AD65:AD76">AD4/80.320332559</f>
        <v>1.0639217086436816</v>
      </c>
      <c r="AE65" s="1">
        <f aca="true" t="shared" si="126" ref="AE65:AE76">AE4/19.378897176</f>
        <v>0.656759392003082</v>
      </c>
      <c r="AF65" s="1">
        <f aca="true" t="shared" si="127" ref="AF65:AF76">AF4/0.86829</f>
        <v>0.9469416899883679</v>
      </c>
      <c r="AG65" s="1">
        <f aca="true" t="shared" si="128" ref="AG65:AG76">AG4/0.74797</f>
        <v>1.0813535302218003</v>
      </c>
      <c r="AH65" s="1">
        <f>AH4/0.86867</f>
        <v>0.9867268352769175</v>
      </c>
      <c r="AI65" t="s">
        <v>16</v>
      </c>
      <c r="AJ65" s="7" t="s">
        <v>16</v>
      </c>
      <c r="AK65" s="10" t="s">
        <v>16</v>
      </c>
    </row>
    <row r="66" spans="1:37" ht="12.75">
      <c r="A66" t="s">
        <v>5</v>
      </c>
      <c r="B66" s="1">
        <f aca="true" t="shared" si="129" ref="B66:B76">B5/5.97509178604852</f>
        <v>1.3029870346437653</v>
      </c>
      <c r="C66" s="1">
        <f aca="true" t="shared" si="130" ref="C66:C76">C5/4.63129604300146</f>
        <v>1.6810558115352219</v>
      </c>
      <c r="D66" s="1">
        <f t="shared" si="108"/>
        <v>0.874552475100632</v>
      </c>
      <c r="E66" s="1">
        <f t="shared" si="109"/>
        <v>1.2359123717867544</v>
      </c>
      <c r="F66" s="1">
        <f t="shared" si="110"/>
        <v>0.920536239929685</v>
      </c>
      <c r="G66" s="1">
        <f t="shared" si="111"/>
        <v>4.495882507253377</v>
      </c>
      <c r="H66" s="1">
        <f t="shared" si="112"/>
        <v>1.499971006800616</v>
      </c>
      <c r="J66" s="1">
        <f aca="true" t="shared" si="131" ref="J66:J76">J5/10.324136183</f>
        <v>4.795213358626421</v>
      </c>
      <c r="K66" s="1">
        <f aca="true" t="shared" si="132" ref="K66:K76">K5/4.502201185</f>
        <v>8.162903602229852</v>
      </c>
      <c r="L66" s="1">
        <f aca="true" t="shared" si="133" ref="L66:L76">L5/3.8241250438</f>
        <v>3.36045649025908</v>
      </c>
      <c r="M66" s="1">
        <f t="shared" si="113"/>
        <v>2.8231973374699053</v>
      </c>
      <c r="N66" s="1">
        <f aca="true" t="shared" si="134" ref="N66:N76">N5/19.57</f>
        <v>4.006642820643842</v>
      </c>
      <c r="O66" s="1">
        <f t="shared" si="114"/>
        <v>2.240651212042808</v>
      </c>
      <c r="P66" s="1">
        <f t="shared" si="115"/>
        <v>1.556804823161428</v>
      </c>
      <c r="Q66" s="1">
        <f t="shared" si="116"/>
        <v>1.146104910341366</v>
      </c>
      <c r="R66" s="1">
        <f t="shared" si="117"/>
        <v>0.06099898845470181</v>
      </c>
      <c r="S66" s="1">
        <f t="shared" si="118"/>
        <v>0.17300253995213338</v>
      </c>
      <c r="T66" s="1">
        <f t="shared" si="119"/>
        <v>0.4125399013332737</v>
      </c>
      <c r="U66" s="7">
        <v>0</v>
      </c>
      <c r="V66" s="1">
        <f t="shared" si="120"/>
        <v>1.9329713369084611</v>
      </c>
      <c r="W66" s="7">
        <v>0</v>
      </c>
      <c r="X66" s="1">
        <f t="shared" si="121"/>
        <v>0.5156262326552091</v>
      </c>
      <c r="Y66" s="7">
        <v>0</v>
      </c>
      <c r="Z66" s="1">
        <f t="shared" si="122"/>
        <v>0.868885371979323</v>
      </c>
      <c r="AA66" s="1">
        <f t="shared" si="123"/>
        <v>1.0767101303043989</v>
      </c>
      <c r="AB66" s="1">
        <f aca="true" t="shared" si="135" ref="AB66:AB76">AB5/16.85187219</f>
        <v>0.23367665925194744</v>
      </c>
      <c r="AC66" s="1">
        <f t="shared" si="124"/>
        <v>1.9338862517537565</v>
      </c>
      <c r="AD66" s="1">
        <f t="shared" si="125"/>
        <v>0.793244306915669</v>
      </c>
      <c r="AE66" s="1">
        <f t="shared" si="126"/>
        <v>1.8424525225934356</v>
      </c>
      <c r="AF66" s="1">
        <f t="shared" si="127"/>
        <v>0.9004940745603427</v>
      </c>
      <c r="AG66" s="1">
        <f t="shared" si="128"/>
        <v>0.9511878818669197</v>
      </c>
      <c r="AH66" s="1">
        <f aca="true" t="shared" si="136" ref="AH66:AH76">AH5/0.74797</f>
        <v>1.0833589582469885</v>
      </c>
      <c r="AI66" s="1">
        <f aca="true" t="shared" si="137" ref="AI66:AI76">AI5/51.259418458</f>
        <v>0.993663868362726</v>
      </c>
      <c r="AJ66" s="1">
        <f aca="true" t="shared" si="138" ref="AJ66:AJ76">AJ5/9.67975384851331</f>
        <v>2.3017567874598885</v>
      </c>
      <c r="AK66" s="1">
        <f aca="true" t="shared" si="139" ref="AK66:AK76">AK5/43.31</f>
        <v>1.2592934657123065</v>
      </c>
    </row>
    <row r="67" spans="1:37" ht="12.75">
      <c r="A67" t="s">
        <v>6</v>
      </c>
      <c r="B67" s="1">
        <f t="shared" si="129"/>
        <v>1.7016772047161175</v>
      </c>
      <c r="C67" s="1">
        <f t="shared" si="130"/>
        <v>2.1183955384589805</v>
      </c>
      <c r="D67" s="1">
        <f t="shared" si="108"/>
        <v>0.8563269766064742</v>
      </c>
      <c r="E67" s="1">
        <f t="shared" si="109"/>
        <v>1.4320901615542552</v>
      </c>
      <c r="F67" s="1">
        <f t="shared" si="110"/>
        <v>0.947026719434126</v>
      </c>
      <c r="G67" s="1">
        <f t="shared" si="111"/>
        <v>4.423190226708184</v>
      </c>
      <c r="H67" s="1">
        <f t="shared" si="112"/>
        <v>0.9816508030245791</v>
      </c>
      <c r="J67" s="1">
        <f t="shared" si="131"/>
        <v>4.256989304671205</v>
      </c>
      <c r="K67" s="1">
        <f t="shared" si="132"/>
        <v>10.517309109988162</v>
      </c>
      <c r="L67" s="1">
        <f t="shared" si="133"/>
        <v>4.323748243485719</v>
      </c>
      <c r="M67" s="1">
        <f t="shared" si="113"/>
        <v>3.7065109896283657</v>
      </c>
      <c r="N67" s="1">
        <f t="shared" si="134"/>
        <v>5.808891159938682</v>
      </c>
      <c r="O67" s="1">
        <f t="shared" si="114"/>
        <v>4.975088695843272</v>
      </c>
      <c r="P67" s="1">
        <f t="shared" si="115"/>
        <v>2.147448016936222</v>
      </c>
      <c r="Q67" s="1">
        <f t="shared" si="116"/>
        <v>0.7369543717542915</v>
      </c>
      <c r="R67" s="1">
        <f t="shared" si="117"/>
        <v>0.10053627220304408</v>
      </c>
      <c r="S67" s="1">
        <f t="shared" si="118"/>
        <v>0.3080574967148269</v>
      </c>
      <c r="T67" s="1">
        <f t="shared" si="119"/>
        <v>0.29752670020290045</v>
      </c>
      <c r="U67" s="7">
        <v>0</v>
      </c>
      <c r="V67" s="1">
        <f t="shared" si="120"/>
        <v>1.2813040135959142</v>
      </c>
      <c r="W67" s="7">
        <v>0</v>
      </c>
      <c r="X67" s="1">
        <f t="shared" si="121"/>
        <v>0.2040100861051819</v>
      </c>
      <c r="Y67" s="7">
        <v>0</v>
      </c>
      <c r="Z67" s="1">
        <f t="shared" si="122"/>
        <v>0.6230384527536778</v>
      </c>
      <c r="AA67" s="1">
        <f t="shared" si="123"/>
        <v>0.5886383527419449</v>
      </c>
      <c r="AB67" s="1">
        <f t="shared" si="135"/>
        <v>0.2291618704770155</v>
      </c>
      <c r="AC67" s="1">
        <f t="shared" si="124"/>
        <v>1.4447785979327656</v>
      </c>
      <c r="AD67" s="1">
        <f t="shared" si="125"/>
        <v>0.7968725684867467</v>
      </c>
      <c r="AE67" s="1">
        <f t="shared" si="126"/>
        <v>1.8350055488730357</v>
      </c>
      <c r="AF67" s="1">
        <f t="shared" si="127"/>
        <v>0.550288498082438</v>
      </c>
      <c r="AG67" s="1">
        <f t="shared" si="128"/>
        <v>0.5536451996737837</v>
      </c>
      <c r="AH67" s="1">
        <f t="shared" si="136"/>
        <v>0.7738946749201171</v>
      </c>
      <c r="AI67" s="1">
        <f t="shared" si="137"/>
        <v>0.8821958738188228</v>
      </c>
      <c r="AJ67" s="1">
        <f t="shared" si="138"/>
        <v>0.8470483082839635</v>
      </c>
      <c r="AK67" s="1">
        <f t="shared" si="139"/>
        <v>1.3223274070653428</v>
      </c>
    </row>
    <row r="68" spans="1:37" ht="12.75">
      <c r="A68" t="s">
        <v>7</v>
      </c>
      <c r="B68" s="1">
        <f t="shared" si="129"/>
        <v>0.8022488182819776</v>
      </c>
      <c r="C68" s="1">
        <f t="shared" si="130"/>
        <v>0.955408317667019</v>
      </c>
      <c r="D68" s="1">
        <f t="shared" si="108"/>
        <v>0.7922997034229489</v>
      </c>
      <c r="E68" s="1">
        <f t="shared" si="109"/>
        <v>1.277925685843269</v>
      </c>
      <c r="F68" s="1">
        <f t="shared" si="110"/>
        <v>0.9185079262674505</v>
      </c>
      <c r="G68" s="1">
        <f t="shared" si="111"/>
        <v>5.557551594813132</v>
      </c>
      <c r="H68" s="1">
        <f t="shared" si="112"/>
        <v>1.7107516457661431</v>
      </c>
      <c r="J68" s="1">
        <f t="shared" si="131"/>
        <v>3.002058178488094</v>
      </c>
      <c r="K68" s="1">
        <f t="shared" si="132"/>
        <v>2.1532134664479683</v>
      </c>
      <c r="L68" s="1">
        <f t="shared" si="133"/>
        <v>1.9440918331772046</v>
      </c>
      <c r="M68" s="1">
        <f t="shared" si="113"/>
        <v>3.9420133226856566</v>
      </c>
      <c r="N68" s="1">
        <f t="shared" si="134"/>
        <v>3.9361267245784366</v>
      </c>
      <c r="O68" s="1">
        <f t="shared" si="114"/>
        <v>1.7002399547064855</v>
      </c>
      <c r="P68" s="1">
        <f t="shared" si="115"/>
        <v>0.9501500978333841</v>
      </c>
      <c r="Q68" s="1">
        <f t="shared" si="116"/>
        <v>1.6514889835467963</v>
      </c>
      <c r="R68" s="1">
        <f t="shared" si="117"/>
        <v>0.05170193712762337</v>
      </c>
      <c r="S68" s="1">
        <f t="shared" si="118"/>
        <v>0.22442281147226448</v>
      </c>
      <c r="T68" s="1">
        <f t="shared" si="119"/>
        <v>0.6421655987447402</v>
      </c>
      <c r="U68" s="7">
        <v>0</v>
      </c>
      <c r="V68" s="1">
        <f t="shared" si="120"/>
        <v>1.8082463827597501</v>
      </c>
      <c r="W68" s="7">
        <v>0</v>
      </c>
      <c r="X68" s="1">
        <f t="shared" si="121"/>
        <v>1.411663425688482</v>
      </c>
      <c r="Y68" s="7">
        <v>0</v>
      </c>
      <c r="Z68" s="1">
        <f t="shared" si="122"/>
        <v>1.1190409354977857</v>
      </c>
      <c r="AA68" s="1">
        <f t="shared" si="123"/>
        <v>2.1066327794222506</v>
      </c>
      <c r="AB68" s="1">
        <f t="shared" si="135"/>
        <v>0.48583055669970626</v>
      </c>
      <c r="AC68" s="1">
        <f t="shared" si="124"/>
        <v>1.359835070770874</v>
      </c>
      <c r="AD68" s="1">
        <f t="shared" si="125"/>
        <v>0.8366295540253006</v>
      </c>
      <c r="AE68" s="1">
        <f t="shared" si="126"/>
        <v>1.6715418706652205</v>
      </c>
      <c r="AF68" s="1">
        <f t="shared" si="127"/>
        <v>1.0211450091559273</v>
      </c>
      <c r="AG68" s="1">
        <f t="shared" si="128"/>
        <v>0.9623915397676378</v>
      </c>
      <c r="AH68" s="1">
        <f t="shared" si="136"/>
        <v>1.1216492640079148</v>
      </c>
      <c r="AI68" s="1">
        <f t="shared" si="137"/>
        <v>1.0727284631809586</v>
      </c>
      <c r="AJ68" s="1">
        <f t="shared" si="138"/>
        <v>0.9152233635000618</v>
      </c>
      <c r="AK68" s="1">
        <f t="shared" si="139"/>
        <v>1.0357885015008081</v>
      </c>
    </row>
    <row r="69" spans="1:37" ht="12.75">
      <c r="A69" t="s">
        <v>8</v>
      </c>
      <c r="B69" s="1">
        <f t="shared" si="129"/>
        <v>1.3715112943468226</v>
      </c>
      <c r="C69" s="1">
        <f t="shared" si="130"/>
        <v>1.3868762157230659</v>
      </c>
      <c r="D69" s="1">
        <f t="shared" si="108"/>
        <v>0.9587708715900739</v>
      </c>
      <c r="E69" s="1">
        <f t="shared" si="109"/>
        <v>1.26956931445827</v>
      </c>
      <c r="F69" s="1">
        <f t="shared" si="110"/>
        <v>1.0788423954430189</v>
      </c>
      <c r="G69" s="1">
        <f t="shared" si="111"/>
        <v>1.6199536222335025</v>
      </c>
      <c r="H69" s="1">
        <f t="shared" si="112"/>
        <v>1.0968685415848871</v>
      </c>
      <c r="J69" s="1">
        <f t="shared" si="131"/>
        <v>1.1836330116530003</v>
      </c>
      <c r="K69" s="1">
        <f t="shared" si="132"/>
        <v>0.8371957003294157</v>
      </c>
      <c r="L69" s="1">
        <f t="shared" si="133"/>
        <v>0.7606009053013906</v>
      </c>
      <c r="M69" s="1">
        <f t="shared" si="113"/>
        <v>2.303320239219396</v>
      </c>
      <c r="N69" s="1">
        <f t="shared" si="134"/>
        <v>1.6152273888605007</v>
      </c>
      <c r="O69" s="1">
        <f t="shared" si="114"/>
        <v>1.9951262479788834</v>
      </c>
      <c r="P69" s="1">
        <f t="shared" si="115"/>
        <v>0.8587646143423863</v>
      </c>
      <c r="Q69" s="1">
        <f t="shared" si="116"/>
        <v>1.099671121087996</v>
      </c>
      <c r="R69" s="1">
        <f t="shared" si="117"/>
        <v>0.6117493053363641</v>
      </c>
      <c r="S69" s="1">
        <f t="shared" si="118"/>
        <v>0.5558483410763044</v>
      </c>
      <c r="T69" s="1">
        <f t="shared" si="119"/>
        <v>0.5255774224825541</v>
      </c>
      <c r="U69" s="7">
        <v>0</v>
      </c>
      <c r="V69" s="1">
        <f t="shared" si="120"/>
        <v>0.9993203438924452</v>
      </c>
      <c r="W69" s="7">
        <v>0</v>
      </c>
      <c r="X69" s="1">
        <f t="shared" si="121"/>
        <v>0.5606825168719148</v>
      </c>
      <c r="Y69" s="7">
        <v>0</v>
      </c>
      <c r="Z69" s="1">
        <f t="shared" si="122"/>
        <v>1.007105878514071</v>
      </c>
      <c r="AA69" s="1">
        <f t="shared" si="123"/>
        <v>1.421589479998416</v>
      </c>
      <c r="AB69" s="1">
        <f t="shared" si="135"/>
        <v>0.7179634192324122</v>
      </c>
      <c r="AC69" s="1">
        <f t="shared" si="124"/>
        <v>49.89082067016417</v>
      </c>
      <c r="AD69" s="1">
        <f t="shared" si="125"/>
        <v>0.8202117705452416</v>
      </c>
      <c r="AE69" s="1">
        <f t="shared" si="126"/>
        <v>0.986363789352922</v>
      </c>
      <c r="AF69" s="1">
        <f t="shared" si="127"/>
        <v>0.9566389109629272</v>
      </c>
      <c r="AG69" s="1">
        <f t="shared" si="128"/>
        <v>0.9711084669171223</v>
      </c>
      <c r="AH69" s="1">
        <f t="shared" si="136"/>
        <v>1.1428800620345736</v>
      </c>
      <c r="AI69" s="1">
        <f t="shared" si="137"/>
        <v>1</v>
      </c>
      <c r="AJ69" s="1">
        <f t="shared" si="138"/>
        <v>0.4826690371986775</v>
      </c>
      <c r="AK69" s="1">
        <f t="shared" si="139"/>
        <v>0.9184945740013853</v>
      </c>
    </row>
    <row r="70" spans="1:37" ht="12.75">
      <c r="A70" t="s">
        <v>9</v>
      </c>
      <c r="B70" s="1">
        <f t="shared" si="129"/>
        <v>1.1999499886337806</v>
      </c>
      <c r="C70" s="1">
        <f t="shared" si="130"/>
        <v>1.4666419004790314</v>
      </c>
      <c r="D70" s="1">
        <f t="shared" si="108"/>
        <v>0.8719244386226027</v>
      </c>
      <c r="E70" s="1">
        <f t="shared" si="109"/>
        <v>1.1341215673092382</v>
      </c>
      <c r="F70" s="1">
        <f t="shared" si="110"/>
        <v>0.9763894632014968</v>
      </c>
      <c r="G70" s="1">
        <f t="shared" si="111"/>
        <v>3.3090305951172927</v>
      </c>
      <c r="H70" s="1">
        <f t="shared" si="112"/>
        <v>1.1567324259033673</v>
      </c>
      <c r="J70" s="1">
        <f t="shared" si="131"/>
        <v>1.7303636047939954</v>
      </c>
      <c r="K70" s="1">
        <f t="shared" si="132"/>
        <v>2.7023521628787455</v>
      </c>
      <c r="L70" s="1">
        <f t="shared" si="133"/>
        <v>1.3623716456517823</v>
      </c>
      <c r="M70" s="1">
        <f t="shared" si="113"/>
        <v>2.402450417144511</v>
      </c>
      <c r="N70" s="1">
        <f t="shared" si="134"/>
        <v>2.1037301992846196</v>
      </c>
      <c r="O70" s="1">
        <f t="shared" si="114"/>
        <v>2.980400746171208</v>
      </c>
      <c r="P70" s="1">
        <f t="shared" si="115"/>
        <v>1.0524808031278607</v>
      </c>
      <c r="Q70" s="1">
        <f t="shared" si="116"/>
        <v>1.267319419597027</v>
      </c>
      <c r="R70" s="1">
        <f t="shared" si="117"/>
        <v>0.3653647866619952</v>
      </c>
      <c r="S70" s="1">
        <f t="shared" si="118"/>
        <v>0.5174866662541494</v>
      </c>
      <c r="T70" s="1">
        <f t="shared" si="119"/>
        <v>0.5093011937947043</v>
      </c>
      <c r="U70" s="7">
        <v>0</v>
      </c>
      <c r="V70" s="1">
        <f t="shared" si="120"/>
        <v>2.50729965454331</v>
      </c>
      <c r="W70" s="7">
        <v>0</v>
      </c>
      <c r="X70" s="1">
        <f t="shared" si="121"/>
        <v>0.4899702972494128</v>
      </c>
      <c r="Y70" s="7">
        <v>0</v>
      </c>
      <c r="Z70" s="1">
        <f t="shared" si="122"/>
        <v>0.8356937159931895</v>
      </c>
      <c r="AA70" s="1">
        <f t="shared" si="123"/>
        <v>0.909493688396556</v>
      </c>
      <c r="AB70" s="1">
        <f t="shared" si="135"/>
        <v>0.6340306387642973</v>
      </c>
      <c r="AC70" s="1">
        <f t="shared" si="124"/>
        <v>21.63306946885218</v>
      </c>
      <c r="AD70" s="1">
        <f t="shared" si="125"/>
        <v>0.7797013461317236</v>
      </c>
      <c r="AE70" s="1">
        <f t="shared" si="126"/>
        <v>1.5928431973532653</v>
      </c>
      <c r="AF70" s="1">
        <f t="shared" si="127"/>
        <v>0.9007244123507122</v>
      </c>
      <c r="AG70" s="1">
        <f t="shared" si="128"/>
        <v>0.8623607898712515</v>
      </c>
      <c r="AH70" s="1">
        <f t="shared" si="136"/>
        <v>1.0390523684104978</v>
      </c>
      <c r="AI70" s="1">
        <f t="shared" si="137"/>
        <v>1.0983036083627977</v>
      </c>
      <c r="AJ70" s="1">
        <f t="shared" si="138"/>
        <v>0.9138926946607628</v>
      </c>
      <c r="AK70" s="1">
        <f t="shared" si="139"/>
        <v>1.0801200646501963</v>
      </c>
    </row>
    <row r="71" spans="1:37" ht="12.75">
      <c r="A71" t="s">
        <v>10</v>
      </c>
      <c r="B71" s="1">
        <f t="shared" si="129"/>
        <v>1.097966373460101</v>
      </c>
      <c r="C71" s="1">
        <f t="shared" si="130"/>
        <v>1.4165472901117377</v>
      </c>
      <c r="D71" s="1">
        <f t="shared" si="108"/>
        <v>0.8784871183901768</v>
      </c>
      <c r="E71" s="1">
        <f t="shared" si="109"/>
        <v>1.233709647413616</v>
      </c>
      <c r="F71" s="1">
        <f t="shared" si="110"/>
        <v>1</v>
      </c>
      <c r="G71" s="1">
        <f t="shared" si="111"/>
        <v>2.233213252258917</v>
      </c>
      <c r="H71" s="1">
        <f t="shared" si="112"/>
        <v>1.0447842538134777</v>
      </c>
      <c r="J71" s="1">
        <f t="shared" si="131"/>
        <v>1.7224348873159374</v>
      </c>
      <c r="K71" s="1">
        <f t="shared" si="132"/>
        <v>1.7976710259783741</v>
      </c>
      <c r="L71" s="1">
        <f t="shared" si="133"/>
        <v>1.0410416118987682</v>
      </c>
      <c r="M71" s="1">
        <f t="shared" si="113"/>
        <v>3.121016106911013</v>
      </c>
      <c r="N71" s="1">
        <f t="shared" si="134"/>
        <v>2.2662238119570772</v>
      </c>
      <c r="O71" s="1">
        <f t="shared" si="114"/>
        <v>1.954940889888715</v>
      </c>
      <c r="P71" s="1">
        <f t="shared" si="115"/>
        <v>0.6224463572322245</v>
      </c>
      <c r="Q71" s="1">
        <f t="shared" si="116"/>
        <v>1.4841510159966742</v>
      </c>
      <c r="R71" s="1">
        <f t="shared" si="117"/>
        <v>0.09639630545593965</v>
      </c>
      <c r="S71" s="1">
        <f t="shared" si="118"/>
        <v>0.22045124957911888</v>
      </c>
      <c r="T71" s="1">
        <f t="shared" si="119"/>
        <v>0.6332555616392324</v>
      </c>
      <c r="U71" s="7">
        <v>0</v>
      </c>
      <c r="V71" s="1">
        <f t="shared" si="120"/>
        <v>6.632674856345907</v>
      </c>
      <c r="W71" s="7">
        <v>0</v>
      </c>
      <c r="X71" s="1">
        <f t="shared" si="121"/>
        <v>0.6788692814155749</v>
      </c>
      <c r="Y71" s="7">
        <v>0</v>
      </c>
      <c r="Z71" s="1">
        <f t="shared" si="122"/>
        <v>1.0210364875091698</v>
      </c>
      <c r="AA71" s="1">
        <f t="shared" si="123"/>
        <v>1.1751117053666944</v>
      </c>
      <c r="AB71" s="1">
        <f t="shared" si="135"/>
        <v>0.9444846305827577</v>
      </c>
      <c r="AC71" s="1">
        <f t="shared" si="124"/>
        <v>41.40898907868204</v>
      </c>
      <c r="AD71" s="1">
        <f t="shared" si="125"/>
        <v>0.8773897516576392</v>
      </c>
      <c r="AE71" s="1">
        <f t="shared" si="126"/>
        <v>0.8810186966234823</v>
      </c>
      <c r="AF71" s="1">
        <f t="shared" si="127"/>
        <v>0.9805825242718447</v>
      </c>
      <c r="AG71" s="1">
        <f t="shared" si="128"/>
        <v>0.9593299196491838</v>
      </c>
      <c r="AH71" s="1">
        <f t="shared" si="136"/>
        <v>1.1323983582229233</v>
      </c>
      <c r="AI71" s="1">
        <f t="shared" si="137"/>
        <v>1.0869794819005436</v>
      </c>
      <c r="AJ71" s="1">
        <f t="shared" si="138"/>
        <v>0.47261820386741055</v>
      </c>
      <c r="AK71" s="1">
        <f t="shared" si="139"/>
        <v>0.9131840221657814</v>
      </c>
    </row>
    <row r="72" spans="1:37" ht="12.75">
      <c r="A72" t="s">
        <v>11</v>
      </c>
      <c r="B72" s="1">
        <f t="shared" si="129"/>
        <v>1</v>
      </c>
      <c r="C72" s="1">
        <f t="shared" si="130"/>
        <v>1.0000000000000007</v>
      </c>
      <c r="D72" s="1">
        <f t="shared" si="108"/>
        <v>0.9994522643120219</v>
      </c>
      <c r="E72" s="1">
        <f t="shared" si="109"/>
        <v>1.0000761268504015</v>
      </c>
      <c r="F72" s="1">
        <f t="shared" si="110"/>
        <v>1.0231917978149676</v>
      </c>
      <c r="G72" s="1">
        <f t="shared" si="111"/>
        <v>1</v>
      </c>
      <c r="H72" s="1">
        <f t="shared" si="112"/>
        <v>1</v>
      </c>
      <c r="J72" s="1">
        <f t="shared" si="131"/>
        <v>1</v>
      </c>
      <c r="K72" s="1">
        <f t="shared" si="132"/>
        <v>1</v>
      </c>
      <c r="L72" s="1">
        <f t="shared" si="133"/>
        <v>1</v>
      </c>
      <c r="M72" s="1">
        <f t="shared" si="113"/>
        <v>1</v>
      </c>
      <c r="N72" s="1">
        <f t="shared" si="134"/>
        <v>1</v>
      </c>
      <c r="O72" s="1">
        <f t="shared" si="114"/>
        <v>1</v>
      </c>
      <c r="P72" s="1">
        <f t="shared" si="115"/>
        <v>1.000066134238633</v>
      </c>
      <c r="Q72" s="1">
        <f t="shared" si="116"/>
        <v>1</v>
      </c>
      <c r="R72" s="1">
        <f t="shared" si="117"/>
        <v>1</v>
      </c>
      <c r="S72" s="1">
        <f t="shared" si="118"/>
        <v>1</v>
      </c>
      <c r="T72" s="1">
        <f t="shared" si="119"/>
        <v>1</v>
      </c>
      <c r="U72" s="7">
        <v>0</v>
      </c>
      <c r="V72" s="1">
        <f t="shared" si="120"/>
        <v>1</v>
      </c>
      <c r="W72" s="7">
        <v>0</v>
      </c>
      <c r="X72" s="1">
        <f t="shared" si="121"/>
        <v>1</v>
      </c>
      <c r="Y72" s="7">
        <v>0</v>
      </c>
      <c r="Z72" s="1">
        <f t="shared" si="122"/>
        <v>1</v>
      </c>
      <c r="AA72" s="1">
        <f t="shared" si="123"/>
        <v>1</v>
      </c>
      <c r="AB72" s="1">
        <f t="shared" si="135"/>
        <v>1</v>
      </c>
      <c r="AC72" s="1">
        <f t="shared" si="124"/>
        <v>1</v>
      </c>
      <c r="AD72" s="1">
        <f t="shared" si="125"/>
        <v>1</v>
      </c>
      <c r="AE72" s="1">
        <f t="shared" si="126"/>
        <v>1</v>
      </c>
      <c r="AF72" s="1">
        <f t="shared" si="127"/>
        <v>1</v>
      </c>
      <c r="AG72" s="1">
        <f t="shared" si="128"/>
        <v>1</v>
      </c>
      <c r="AH72" s="1">
        <f t="shared" si="136"/>
        <v>1.1613701084268087</v>
      </c>
      <c r="AI72" s="1">
        <f t="shared" si="137"/>
        <v>1.0555559518361166</v>
      </c>
      <c r="AJ72" s="1">
        <f t="shared" si="138"/>
        <v>1.0000000000000004</v>
      </c>
      <c r="AK72" s="1">
        <f t="shared" si="139"/>
        <v>1</v>
      </c>
    </row>
    <row r="73" spans="1:37" ht="12.75">
      <c r="A73" t="s">
        <v>12</v>
      </c>
      <c r="B73" s="1">
        <f t="shared" si="129"/>
        <v>1.277568288420859</v>
      </c>
      <c r="C73" s="1">
        <f t="shared" si="130"/>
        <v>1.4284934540995937</v>
      </c>
      <c r="D73" s="1">
        <f t="shared" si="108"/>
        <v>0.8000386995463966</v>
      </c>
      <c r="E73" s="1">
        <f t="shared" si="109"/>
        <v>1.25115661584262</v>
      </c>
      <c r="F73" s="1">
        <f t="shared" si="110"/>
        <v>0.8495519181745356</v>
      </c>
      <c r="G73" s="1">
        <f t="shared" si="111"/>
        <v>2.013454567807677</v>
      </c>
      <c r="H73" s="1">
        <f t="shared" si="112"/>
        <v>0.8040018780944026</v>
      </c>
      <c r="J73" s="1">
        <f t="shared" si="131"/>
        <v>1.578629406481164</v>
      </c>
      <c r="K73" s="1">
        <f t="shared" si="132"/>
        <v>0.7370264578480848</v>
      </c>
      <c r="L73" s="1">
        <f t="shared" si="133"/>
        <v>0.6456180643995498</v>
      </c>
      <c r="M73" s="1">
        <f t="shared" si="113"/>
        <v>3.0474734485381445</v>
      </c>
      <c r="N73" s="1">
        <f t="shared" si="134"/>
        <v>2.356157383750639</v>
      </c>
      <c r="O73" s="1">
        <f t="shared" si="114"/>
        <v>1.7584251088495297</v>
      </c>
      <c r="P73" s="1">
        <f t="shared" si="115"/>
        <v>0.3757262535550808</v>
      </c>
      <c r="Q73" s="1">
        <f t="shared" si="116"/>
        <v>1.3121277867839238</v>
      </c>
      <c r="R73" s="1">
        <f t="shared" si="117"/>
        <v>0.11735825831868937</v>
      </c>
      <c r="S73" s="1">
        <f t="shared" si="118"/>
        <v>0.27182379559538317</v>
      </c>
      <c r="T73" s="1">
        <f t="shared" si="119"/>
        <v>0.5423850244462374</v>
      </c>
      <c r="U73" s="7">
        <v>0</v>
      </c>
      <c r="V73" s="1">
        <f t="shared" si="120"/>
        <v>7.377179602272159</v>
      </c>
      <c r="W73" s="7">
        <v>0</v>
      </c>
      <c r="X73" s="1">
        <f t="shared" si="121"/>
        <v>0.6273485261289775</v>
      </c>
      <c r="Y73" s="7">
        <v>0</v>
      </c>
      <c r="Z73" s="1">
        <f t="shared" si="122"/>
        <v>0.9101672217045853</v>
      </c>
      <c r="AA73" s="1">
        <f t="shared" si="123"/>
        <v>0.9877560717555238</v>
      </c>
      <c r="AB73" s="1">
        <f t="shared" si="135"/>
        <v>0.6301491740663385</v>
      </c>
      <c r="AC73" s="1">
        <f t="shared" si="124"/>
        <v>25.520827917426452</v>
      </c>
      <c r="AD73" s="1">
        <f t="shared" si="125"/>
        <v>0.9576526154133949</v>
      </c>
      <c r="AE73" s="1">
        <f t="shared" si="126"/>
        <v>0.7949429284386024</v>
      </c>
      <c r="AF73" s="1">
        <f t="shared" si="127"/>
        <v>1.035425952158841</v>
      </c>
      <c r="AG73" s="1">
        <f t="shared" si="128"/>
        <v>1.1156730884928538</v>
      </c>
      <c r="AH73" s="1">
        <f t="shared" si="136"/>
        <v>1.2245009826597322</v>
      </c>
      <c r="AI73" s="1">
        <f t="shared" si="137"/>
        <v>1.0186220478053634</v>
      </c>
      <c r="AJ73" s="1">
        <f t="shared" si="138"/>
        <v>0.3047918991720376</v>
      </c>
      <c r="AK73" s="1">
        <f t="shared" si="139"/>
        <v>0.6028630801200646</v>
      </c>
    </row>
    <row r="74" spans="1:37" ht="12.75">
      <c r="A74" t="s">
        <v>13</v>
      </c>
      <c r="B74" s="1">
        <f t="shared" si="129"/>
        <v>0.7602401820129318</v>
      </c>
      <c r="C74" s="1">
        <f t="shared" si="130"/>
        <v>0.9107688634995788</v>
      </c>
      <c r="D74" s="1">
        <f t="shared" si="108"/>
        <v>0.9123703381384838</v>
      </c>
      <c r="E74" s="1">
        <f t="shared" si="109"/>
        <v>1.2039051039506297</v>
      </c>
      <c r="F74" s="1">
        <f t="shared" si="110"/>
        <v>0.8642736197123828</v>
      </c>
      <c r="G74" s="1">
        <f t="shared" si="111"/>
        <v>2.6351916376421562</v>
      </c>
      <c r="H74" s="1">
        <f t="shared" si="112"/>
        <v>1.0924614804676125</v>
      </c>
      <c r="J74" s="1">
        <f t="shared" si="131"/>
        <v>1.4383342267851602</v>
      </c>
      <c r="K74" s="1">
        <f t="shared" si="132"/>
        <v>1.5313550878557642</v>
      </c>
      <c r="L74" s="1">
        <f t="shared" si="133"/>
        <v>0.6847534341340306</v>
      </c>
      <c r="M74" s="1">
        <f t="shared" si="113"/>
        <v>1.5328661096628629</v>
      </c>
      <c r="N74" s="1">
        <f t="shared" si="134"/>
        <v>1.4793050587634133</v>
      </c>
      <c r="O74" s="1">
        <f t="shared" si="114"/>
        <v>1.6294077305993944</v>
      </c>
      <c r="P74" s="1">
        <f t="shared" si="115"/>
        <v>0.8107316757857795</v>
      </c>
      <c r="Q74" s="1">
        <f t="shared" si="116"/>
        <v>1.5116799108922334</v>
      </c>
      <c r="R74" s="1">
        <f t="shared" si="117"/>
        <v>0.35494300788953037</v>
      </c>
      <c r="S74" s="1">
        <f t="shared" si="118"/>
        <v>0.4267446032294215</v>
      </c>
      <c r="T74" s="1">
        <f t="shared" si="119"/>
        <v>0.9146065518529409</v>
      </c>
      <c r="U74" s="7">
        <v>0</v>
      </c>
      <c r="V74" s="1">
        <f t="shared" si="120"/>
        <v>2.528790457104416</v>
      </c>
      <c r="W74" s="7">
        <v>0</v>
      </c>
      <c r="X74" s="1">
        <f t="shared" si="121"/>
        <v>0.47143448372506774</v>
      </c>
      <c r="Y74" s="7">
        <v>0</v>
      </c>
      <c r="Z74" s="1">
        <f t="shared" si="122"/>
        <v>1.0942050571627815</v>
      </c>
      <c r="AA74" s="1">
        <f t="shared" si="123"/>
        <v>1.0703531764172072</v>
      </c>
      <c r="AB74" s="1">
        <f t="shared" si="135"/>
        <v>1.1594621927286286</v>
      </c>
      <c r="AC74" s="1">
        <f t="shared" si="124"/>
        <v>1.0027872229961423</v>
      </c>
      <c r="AD74" s="1">
        <f t="shared" si="125"/>
        <v>0.9675567161641688</v>
      </c>
      <c r="AE74" s="1">
        <f t="shared" si="126"/>
        <v>1.1344254530761542</v>
      </c>
      <c r="AF74" s="1">
        <f t="shared" si="127"/>
        <v>0.9668774257448548</v>
      </c>
      <c r="AG74" s="1">
        <f t="shared" si="128"/>
        <v>0.9675254355121194</v>
      </c>
      <c r="AH74" s="1">
        <f t="shared" si="136"/>
        <v>1.1411955024934155</v>
      </c>
      <c r="AI74" s="1">
        <f t="shared" si="137"/>
        <v>1.0400080520554547</v>
      </c>
      <c r="AJ74" s="1">
        <f t="shared" si="138"/>
        <v>1.2421606697835847</v>
      </c>
      <c r="AK74" s="1">
        <f t="shared" si="139"/>
        <v>0.7464788732394365</v>
      </c>
    </row>
    <row r="75" spans="1:37" ht="12.75">
      <c r="A75" t="s">
        <v>14</v>
      </c>
      <c r="B75" s="1">
        <f t="shared" si="129"/>
        <v>1.2042057811986844</v>
      </c>
      <c r="C75" s="1">
        <f t="shared" si="130"/>
        <v>1.2548409784551464</v>
      </c>
      <c r="D75" s="1">
        <f t="shared" si="108"/>
        <v>0.7442115374473938</v>
      </c>
      <c r="E75" s="1">
        <f t="shared" si="109"/>
        <v>1.3139876274157711</v>
      </c>
      <c r="F75" s="1">
        <f t="shared" si="110"/>
        <v>0.7712860943742109</v>
      </c>
      <c r="G75" s="1">
        <f t="shared" si="111"/>
        <v>2.393901559805507</v>
      </c>
      <c r="H75" s="1">
        <f t="shared" si="112"/>
        <v>1.0675422677989284</v>
      </c>
      <c r="J75" s="1">
        <f t="shared" si="131"/>
        <v>1.715540480584147</v>
      </c>
      <c r="K75" s="1">
        <f t="shared" si="132"/>
        <v>1.0278219049200488</v>
      </c>
      <c r="L75" s="1">
        <f t="shared" si="133"/>
        <v>1.0752838915837126</v>
      </c>
      <c r="M75" s="1">
        <f t="shared" si="113"/>
        <v>2.6343426592606596</v>
      </c>
      <c r="N75" s="1">
        <f t="shared" si="134"/>
        <v>1.9284619315278488</v>
      </c>
      <c r="O75" s="1">
        <f t="shared" si="114"/>
        <v>1.3995810609474002</v>
      </c>
      <c r="P75" s="1">
        <f t="shared" si="115"/>
        <v>0.674919510405859</v>
      </c>
      <c r="Q75" s="1">
        <f t="shared" si="116"/>
        <v>1.255973638301071</v>
      </c>
      <c r="R75" s="1">
        <f t="shared" si="117"/>
        <v>0.2430471284831565</v>
      </c>
      <c r="S75" s="1">
        <f t="shared" si="118"/>
        <v>0.33102031012651145</v>
      </c>
      <c r="T75" s="1">
        <f t="shared" si="119"/>
        <v>0.5262339173567576</v>
      </c>
      <c r="U75" s="7">
        <v>0</v>
      </c>
      <c r="V75" s="1">
        <f t="shared" si="120"/>
        <v>1.6930739503224588</v>
      </c>
      <c r="W75" s="7">
        <v>0</v>
      </c>
      <c r="X75" s="1">
        <f t="shared" si="121"/>
        <v>0.5850687399675571</v>
      </c>
      <c r="Y75" s="7">
        <v>0</v>
      </c>
      <c r="Z75" s="1">
        <f t="shared" si="122"/>
        <v>0.8827320870879437</v>
      </c>
      <c r="AA75" s="1">
        <f t="shared" si="123"/>
        <v>0.8308556699586072</v>
      </c>
      <c r="AB75" s="1">
        <f t="shared" si="135"/>
        <v>0.46588988992326313</v>
      </c>
      <c r="AC75" s="1">
        <f t="shared" si="124"/>
        <v>2.863775792599934</v>
      </c>
      <c r="AD75" s="1">
        <f t="shared" si="125"/>
        <v>1.0317695083760468</v>
      </c>
      <c r="AE75" s="1">
        <f t="shared" si="126"/>
        <v>0.8393971653941965</v>
      </c>
      <c r="AF75" s="1">
        <f t="shared" si="127"/>
        <v>0.9908210390537723</v>
      </c>
      <c r="AG75" s="1">
        <f t="shared" si="128"/>
        <v>0.9396767250023396</v>
      </c>
      <c r="AH75" s="1">
        <f t="shared" si="136"/>
        <v>1.089535676564568</v>
      </c>
      <c r="AI75" s="1">
        <f t="shared" si="137"/>
        <v>1.0565313208220324</v>
      </c>
      <c r="AJ75" s="1">
        <f t="shared" si="138"/>
        <v>0.6036129319821628</v>
      </c>
      <c r="AK75" s="1">
        <f t="shared" si="139"/>
        <v>0.8224428538443777</v>
      </c>
    </row>
    <row r="76" spans="1:37" ht="12.75">
      <c r="A76" t="s">
        <v>15</v>
      </c>
      <c r="B76" s="1">
        <f t="shared" si="129"/>
        <v>1.2066112246046938</v>
      </c>
      <c r="C76" s="1">
        <f t="shared" si="130"/>
        <v>1.2684352885021144</v>
      </c>
      <c r="D76" s="1">
        <f t="shared" si="108"/>
        <v>0.8197301778086914</v>
      </c>
      <c r="E76" s="1">
        <f t="shared" si="109"/>
        <v>1.1096311367950749</v>
      </c>
      <c r="F76" s="1">
        <f t="shared" si="110"/>
        <v>0.9543710582833764</v>
      </c>
      <c r="G76" s="1">
        <f t="shared" si="111"/>
        <v>0.8689393690786867</v>
      </c>
      <c r="H76" s="1">
        <f t="shared" si="112"/>
        <v>0.8194118138910427</v>
      </c>
      <c r="J76" s="1">
        <f t="shared" si="131"/>
        <v>1.3741259368856584</v>
      </c>
      <c r="K76" s="1">
        <f t="shared" si="132"/>
        <v>0.9003723737192345</v>
      </c>
      <c r="L76" s="1">
        <f t="shared" si="133"/>
        <v>0.26101684661653635</v>
      </c>
      <c r="M76" s="1">
        <f t="shared" si="113"/>
        <v>2.1962120590626317</v>
      </c>
      <c r="N76" s="1">
        <f t="shared" si="134"/>
        <v>1.4394481349003578</v>
      </c>
      <c r="O76" s="1">
        <f t="shared" si="114"/>
        <v>1.2409085011810068</v>
      </c>
      <c r="P76" s="1">
        <f t="shared" si="115"/>
        <v>0.4907241130912419</v>
      </c>
      <c r="Q76" s="1">
        <f t="shared" si="116"/>
        <v>1.2085456358278954</v>
      </c>
      <c r="R76" s="1">
        <f t="shared" si="117"/>
        <v>0.244108237559569</v>
      </c>
      <c r="S76" s="1">
        <f t="shared" si="118"/>
        <v>0.4338374931923933</v>
      </c>
      <c r="T76" s="1">
        <f t="shared" si="119"/>
        <v>0.4352770755611246</v>
      </c>
      <c r="U76" s="7">
        <v>0</v>
      </c>
      <c r="V76" s="1">
        <f t="shared" si="120"/>
        <v>0.863505843477554</v>
      </c>
      <c r="W76" s="7">
        <v>0</v>
      </c>
      <c r="X76" s="1">
        <f t="shared" si="121"/>
        <v>0.3864874229614324</v>
      </c>
      <c r="Y76" s="7">
        <v>0</v>
      </c>
      <c r="Z76" s="1">
        <f t="shared" si="122"/>
        <v>0.8429238084850923</v>
      </c>
      <c r="AA76" s="1">
        <f t="shared" si="123"/>
        <v>0.5745490208786295</v>
      </c>
      <c r="AB76" s="1">
        <f t="shared" si="135"/>
        <v>0.45524604006624614</v>
      </c>
      <c r="AC76" s="1">
        <f t="shared" si="124"/>
        <v>1.57091563964518</v>
      </c>
      <c r="AD76" s="1">
        <f t="shared" si="125"/>
        <v>1.0809967001595915</v>
      </c>
      <c r="AE76" s="1">
        <f t="shared" si="126"/>
        <v>0.6554294972848254</v>
      </c>
      <c r="AF76" s="1">
        <f t="shared" si="127"/>
        <v>0.9939305992237617</v>
      </c>
      <c r="AG76" s="1">
        <f t="shared" si="128"/>
        <v>1.0402689947457784</v>
      </c>
      <c r="AH76" s="1">
        <f t="shared" si="136"/>
        <v>1.1943527146810702</v>
      </c>
      <c r="AI76" s="1">
        <f t="shared" si="137"/>
        <v>0.9899035314178593</v>
      </c>
      <c r="AJ76" s="1">
        <f t="shared" si="138"/>
        <v>0.36524416816984506</v>
      </c>
      <c r="AK76" s="1">
        <f t="shared" si="139"/>
        <v>0.7222350496421149</v>
      </c>
    </row>
  </sheetData>
  <mergeCells count="45">
    <mergeCell ref="T1:Y1"/>
    <mergeCell ref="Z1:AB1"/>
    <mergeCell ref="J65:L65"/>
    <mergeCell ref="J36:N36"/>
    <mergeCell ref="J50:N50"/>
    <mergeCell ref="J64:N64"/>
    <mergeCell ref="J23:L23"/>
    <mergeCell ref="J37:L37"/>
    <mergeCell ref="J22:N22"/>
    <mergeCell ref="J51:L51"/>
    <mergeCell ref="G36:I36"/>
    <mergeCell ref="G50:I50"/>
    <mergeCell ref="G64:I64"/>
    <mergeCell ref="G22:I22"/>
    <mergeCell ref="G1:H1"/>
    <mergeCell ref="J4:L4"/>
    <mergeCell ref="J1:N1"/>
    <mergeCell ref="Q1:S1"/>
    <mergeCell ref="B4:C4"/>
    <mergeCell ref="B65:C65"/>
    <mergeCell ref="B23:C23"/>
    <mergeCell ref="B37:C37"/>
    <mergeCell ref="B51:C51"/>
    <mergeCell ref="B22:F22"/>
    <mergeCell ref="B64:F64"/>
    <mergeCell ref="B50:F50"/>
    <mergeCell ref="B36:F36"/>
    <mergeCell ref="AC64:AG64"/>
    <mergeCell ref="AF1:AH1"/>
    <mergeCell ref="AH22:AL22"/>
    <mergeCell ref="AH36:AL36"/>
    <mergeCell ref="AH50:AL50"/>
    <mergeCell ref="AH64:AL64"/>
    <mergeCell ref="AC1:AE1"/>
    <mergeCell ref="AC22:AG22"/>
    <mergeCell ref="AC36:AG36"/>
    <mergeCell ref="AC50:AG50"/>
    <mergeCell ref="W22:AB22"/>
    <mergeCell ref="O22:V22"/>
    <mergeCell ref="W36:AB36"/>
    <mergeCell ref="W64:AB64"/>
    <mergeCell ref="O64:V64"/>
    <mergeCell ref="O50:V50"/>
    <mergeCell ref="W50:AB50"/>
    <mergeCell ref="O36:V3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Ruth-Ann</dc:creator>
  <cp:keywords/>
  <dc:description/>
  <cp:lastModifiedBy>Ruth-Ann</cp:lastModifiedBy>
  <dcterms:created xsi:type="dcterms:W3CDTF">2001-09-06T18:23:28Z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